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43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58" i="2"/>
  <c r="G42" i="2" l="1"/>
  <c r="G43" i="2"/>
  <c r="F43" i="2"/>
  <c r="H43" i="2"/>
  <c r="E43" i="2"/>
  <c r="E44" i="2" s="1"/>
  <c r="E29" i="2"/>
  <c r="E15" i="2"/>
  <c r="G60" i="2" l="1"/>
  <c r="G57" i="2"/>
  <c r="H57" i="2" s="1"/>
  <c r="F24" i="2"/>
  <c r="H36" i="2"/>
  <c r="G36" i="2"/>
  <c r="B38" i="2"/>
  <c r="G8" i="2"/>
  <c r="H8" i="2"/>
  <c r="H7" i="2"/>
  <c r="F8" i="2"/>
  <c r="E37" i="2" l="1"/>
  <c r="E8" i="2" l="1"/>
  <c r="D8" i="2" s="1"/>
  <c r="F7" i="2" l="1"/>
  <c r="E24" i="2" l="1"/>
  <c r="B8" i="2"/>
  <c r="E16" i="2" l="1"/>
  <c r="E17" i="2"/>
  <c r="G11" i="2" l="1"/>
  <c r="H11" i="2" s="1"/>
  <c r="F29" i="2" l="1"/>
  <c r="G14" i="2"/>
  <c r="H14" i="2" s="1"/>
  <c r="F15" i="2"/>
  <c r="F13" i="2"/>
  <c r="C49" i="2" l="1"/>
  <c r="D49" i="2"/>
  <c r="E49" i="2"/>
  <c r="B49" i="2"/>
  <c r="B42" i="2" l="1"/>
  <c r="C42" i="2" s="1"/>
  <c r="B40" i="2"/>
  <c r="C40" i="2" s="1"/>
  <c r="B39" i="2"/>
  <c r="C39" i="2" s="1"/>
  <c r="D42" i="2" l="1"/>
  <c r="D40" i="2"/>
  <c r="D39" i="2"/>
  <c r="F20" i="2" l="1"/>
  <c r="F45" i="2" s="1"/>
  <c r="E7" i="2" l="1"/>
  <c r="F49" i="2" l="1"/>
  <c r="C8" i="2" l="1"/>
  <c r="G50" i="2" l="1"/>
  <c r="H50" i="2" s="1"/>
  <c r="G41" i="2"/>
  <c r="H41" i="2" s="1"/>
  <c r="H42" i="2"/>
  <c r="G40" i="2"/>
  <c r="H40" i="2" s="1"/>
  <c r="G38" i="2"/>
  <c r="G37" i="2"/>
  <c r="G35" i="2"/>
  <c r="G34" i="2"/>
  <c r="G33" i="2"/>
  <c r="G32" i="2"/>
  <c r="G28" i="2"/>
  <c r="G27" i="2"/>
  <c r="G25" i="2"/>
  <c r="G22" i="2"/>
  <c r="G20" i="2" s="1"/>
  <c r="G19" i="2"/>
  <c r="G18" i="2"/>
  <c r="G13" i="2"/>
  <c r="G10" i="2"/>
  <c r="H10" i="2" s="1"/>
  <c r="F17" i="2" l="1"/>
  <c r="F16" i="2" s="1"/>
  <c r="B14" i="2"/>
  <c r="B15" i="2" s="1"/>
  <c r="B16" i="2" l="1"/>
  <c r="B17" i="2"/>
  <c r="B32" i="2"/>
  <c r="C32" i="2" s="1"/>
  <c r="D32" i="2" s="1"/>
  <c r="G17" i="2"/>
  <c r="H17" i="2" s="1"/>
  <c r="G16" i="2"/>
  <c r="H16" i="2" s="1"/>
  <c r="H60" i="2"/>
  <c r="H59" i="2"/>
  <c r="H58" i="2"/>
  <c r="G49" i="2"/>
  <c r="H49" i="2" s="1"/>
  <c r="G48" i="2"/>
  <c r="H48" i="2" s="1"/>
  <c r="G47" i="2"/>
  <c r="H47" i="2" s="1"/>
  <c r="B41" i="2"/>
  <c r="C41" i="2" s="1"/>
  <c r="G39" i="2"/>
  <c r="H39" i="2" s="1"/>
  <c r="H38" i="2"/>
  <c r="C38" i="2"/>
  <c r="D38" i="2" s="1"/>
  <c r="H37" i="2"/>
  <c r="B37" i="2"/>
  <c r="B36" i="2"/>
  <c r="C36" i="2" s="1"/>
  <c r="D36" i="2" s="1"/>
  <c r="H35" i="2"/>
  <c r="B35" i="2"/>
  <c r="C35" i="2" s="1"/>
  <c r="D35" i="2" s="1"/>
  <c r="H34" i="2"/>
  <c r="B34" i="2"/>
  <c r="C34" i="2" s="1"/>
  <c r="H33" i="2"/>
  <c r="B33" i="2"/>
  <c r="B31" i="2"/>
  <c r="C31" i="2" s="1"/>
  <c r="G30" i="2"/>
  <c r="H30" i="2" s="1"/>
  <c r="B30" i="2"/>
  <c r="C30" i="2" s="1"/>
  <c r="D30" i="2" s="1"/>
  <c r="H28" i="2"/>
  <c r="B28" i="2"/>
  <c r="C28" i="2" s="1"/>
  <c r="D28" i="2" s="1"/>
  <c r="H27" i="2"/>
  <c r="B27" i="2"/>
  <c r="C27" i="2" s="1"/>
  <c r="H25" i="2"/>
  <c r="B25" i="2"/>
  <c r="H22" i="2"/>
  <c r="H20" i="2" s="1"/>
  <c r="B22" i="2"/>
  <c r="G21" i="2"/>
  <c r="H19" i="2"/>
  <c r="B19" i="2"/>
  <c r="H18" i="2"/>
  <c r="B18" i="2"/>
  <c r="H13" i="2"/>
  <c r="D14" i="2"/>
  <c r="D15" i="2" s="1"/>
  <c r="C14" i="2"/>
  <c r="C15" i="2" s="1"/>
  <c r="E13" i="2"/>
  <c r="G9" i="2"/>
  <c r="H9" i="2" s="1"/>
  <c r="D9" i="2"/>
  <c r="C7" i="2"/>
  <c r="B9" i="2"/>
  <c r="D7" i="2"/>
  <c r="B7" i="2"/>
  <c r="C18" i="2" l="1"/>
  <c r="D18" i="2"/>
  <c r="C13" i="2"/>
  <c r="C29" i="2"/>
  <c r="D13" i="2"/>
  <c r="C17" i="2"/>
  <c r="D16" i="2"/>
  <c r="C9" i="2"/>
  <c r="G15" i="2"/>
  <c r="H15" i="2" s="1"/>
  <c r="C16" i="2"/>
  <c r="G7" i="2"/>
  <c r="C19" i="2"/>
  <c r="D19" i="2" s="1"/>
  <c r="C25" i="2"/>
  <c r="C24" i="2" s="1"/>
  <c r="G31" i="2"/>
  <c r="H31" i="2" s="1"/>
  <c r="H29" i="2" s="1"/>
  <c r="D31" i="2"/>
  <c r="D29" i="2" s="1"/>
  <c r="C37" i="2"/>
  <c r="D37" i="2" s="1"/>
  <c r="D17" i="2"/>
  <c r="F62" i="2"/>
  <c r="F65" i="2"/>
  <c r="F63" i="2"/>
  <c r="F64" i="2"/>
  <c r="G24" i="2"/>
  <c r="H32" i="2"/>
  <c r="B20" i="2"/>
  <c r="C22" i="2"/>
  <c r="C20" i="2" s="1"/>
  <c r="C33" i="2"/>
  <c r="D33" i="2" s="1"/>
  <c r="H24" i="2"/>
  <c r="H66" i="2"/>
  <c r="D27" i="2"/>
  <c r="B29" i="2"/>
  <c r="D34" i="2"/>
  <c r="D41" i="2"/>
  <c r="B24" i="2"/>
  <c r="B13" i="2"/>
  <c r="F61" i="2"/>
  <c r="D25" i="2" l="1"/>
  <c r="B62" i="2"/>
  <c r="B65" i="2"/>
  <c r="B64" i="2"/>
  <c r="B63" i="2"/>
  <c r="H67" i="2"/>
  <c r="E64" i="2"/>
  <c r="E62" i="2"/>
  <c r="E61" i="2"/>
  <c r="E65" i="2"/>
  <c r="E45" i="2"/>
  <c r="E67" i="2" s="1"/>
  <c r="E66" i="2"/>
  <c r="D24" i="2"/>
  <c r="G29" i="2"/>
  <c r="H45" i="2" s="1"/>
  <c r="C43" i="2"/>
  <c r="C44" i="2" s="1"/>
  <c r="C65" i="2"/>
  <c r="E63" i="2"/>
  <c r="H63" i="2"/>
  <c r="H62" i="2"/>
  <c r="C64" i="2"/>
  <c r="C63" i="2"/>
  <c r="D22" i="2"/>
  <c r="D20" i="2" s="1"/>
  <c r="C62" i="2"/>
  <c r="C61" i="2"/>
  <c r="B43" i="2"/>
  <c r="B44" i="2" s="1"/>
  <c r="B61" i="2"/>
  <c r="F66" i="2"/>
  <c r="H65" i="2"/>
  <c r="H64" i="2"/>
  <c r="H61" i="2"/>
  <c r="F67" i="2" l="1"/>
  <c r="B66" i="2"/>
  <c r="B45" i="2"/>
  <c r="B67" i="2" s="1"/>
  <c r="G65" i="2"/>
  <c r="C66" i="2"/>
  <c r="C45" i="2"/>
  <c r="C67" i="2" s="1"/>
  <c r="D63" i="2"/>
  <c r="G62" i="2"/>
  <c r="G61" i="2"/>
  <c r="D62" i="2"/>
  <c r="D65" i="2"/>
  <c r="G64" i="2"/>
  <c r="G63" i="2"/>
  <c r="D64" i="2"/>
  <c r="D61" i="2"/>
  <c r="D43" i="2"/>
  <c r="D44" i="2" s="1"/>
  <c r="G66" i="2"/>
  <c r="G45" i="2"/>
  <c r="G67" i="2" s="1"/>
  <c r="D45" i="2" l="1"/>
  <c r="D67" i="2" s="1"/>
  <c r="D66" i="2"/>
</calcChain>
</file>

<file path=xl/sharedStrings.xml><?xml version="1.0" encoding="utf-8"?>
<sst xmlns="http://schemas.openxmlformats.org/spreadsheetml/2006/main" count="78" uniqueCount="76">
  <si>
    <t xml:space="preserve">Ընկերության անվանումը </t>
  </si>
  <si>
    <t>Եկամուտների և ծախսերի հաշվետվություն</t>
  </si>
  <si>
    <t>Հոդվածի անվանումը</t>
  </si>
  <si>
    <t>Դինամիկա</t>
  </si>
  <si>
    <t>%</t>
  </si>
  <si>
    <t>Վճարովի ծառայություններ, որից</t>
  </si>
  <si>
    <t>Ավիաօդերևութաբանական ծառայություններ</t>
  </si>
  <si>
    <t>Այլ եկամուտներ, որից</t>
  </si>
  <si>
    <t>Արտարժույթի տարբերությունից եկամուտներ</t>
  </si>
  <si>
    <t>Ժամկետանց կրեդիտորական պարտքերի դուրս
գրում</t>
  </si>
  <si>
    <t>Ծախսեր ընդամենը</t>
  </si>
  <si>
    <t xml:space="preserve">Աշխատավարձ, որից </t>
  </si>
  <si>
    <t>Վարչական և գրասենյակային աշխատողներ</t>
  </si>
  <si>
    <t>Գործուղման և ներկայացուցչական ծախսեր</t>
  </si>
  <si>
    <t>Կադրերի վերապատրաստում</t>
  </si>
  <si>
    <t>Գույք սարքավորումներ և վերանորոգում, որից</t>
  </si>
  <si>
    <t>Փափուկ կահույք</t>
  </si>
  <si>
    <t>Սարքավորումներ և տնտեսական գույք</t>
  </si>
  <si>
    <t>Շենք շինությունների ընթացիկ և նորոգում
(ոչ կապիտալացվող)</t>
  </si>
  <si>
    <t>Կոմունալ վճարներ</t>
  </si>
  <si>
    <t>Գազի ծախսեր</t>
  </si>
  <si>
    <t>Ջրմուղ-կոյուղու ծախսեր</t>
  </si>
  <si>
    <t>Կապի և հեռահաղորդականության ծախսեր</t>
  </si>
  <si>
    <t>Տրանսպորտային միջոցների գծով ծախսեր</t>
  </si>
  <si>
    <t>Բենզին</t>
  </si>
  <si>
    <t>Տրանսպորտային միջոցների սպասարկման ծախսեր</t>
  </si>
  <si>
    <t xml:space="preserve">Ամորտիզացիա </t>
  </si>
  <si>
    <t>Այլ ծախսեր</t>
  </si>
  <si>
    <t>Տարածքի, գույքի և սարքավորումների 
վարձակալություն</t>
  </si>
  <si>
    <t>Թույլտվություններ</t>
  </si>
  <si>
    <t>Տեղեկատվության ստացման ծախսեր</t>
  </si>
  <si>
    <t>Նյութեր, ապրանքներ</t>
  </si>
  <si>
    <t>Այլ պայմանագրային ծառայություններ</t>
  </si>
  <si>
    <t>Մասհանում հատուկ նշանակության հիմնադրամին</t>
  </si>
  <si>
    <t>Արտարժույթի տարբերությունից ծախսեր</t>
  </si>
  <si>
    <t>Շահույթ մինչև հարկումը</t>
  </si>
  <si>
    <t>Շահութահարկ</t>
  </si>
  <si>
    <t>Զուտ շահույթ</t>
  </si>
  <si>
    <t>Այլ տվյալներ</t>
  </si>
  <si>
    <t>Աշխատակիցների քանակ-հոգի, այդ թվում</t>
  </si>
  <si>
    <t>Մահճակալների քանակ-հատ</t>
  </si>
  <si>
    <t>Միջին մահճակալ/օր ցուցանիշ</t>
  </si>
  <si>
    <t>Արդյունավետության ցուցանիշներ ընդամենը 
եկամտի նկատմամբ</t>
  </si>
  <si>
    <t>Վճարովի ծառայությունների մասնաբաժինը ընդհանուր
եկամուտներում</t>
  </si>
  <si>
    <t>Այլ եկամուտների մասնաբաժինը ընդհանուր
եկամուտներում</t>
  </si>
  <si>
    <t>Միջին աշխատավարձ ընդհանուր ՀՀ դրամ</t>
  </si>
  <si>
    <t>Վարչական և գրասենյակային աշխատողների միջին
աշխատավարձ ՀՀ դրամ</t>
  </si>
  <si>
    <t>Աշխատավարձի գործակից %</t>
  </si>
  <si>
    <t>Սարքավորումների և նորոգման գործակից %</t>
  </si>
  <si>
    <t>Կոմունալ ծախսերի գործակից %</t>
  </si>
  <si>
    <t>Տրանսպորտային միջոցների գործակից %</t>
  </si>
  <si>
    <t>Պահպանման այլ ծախսերի գործակից %</t>
  </si>
  <si>
    <t>Շահութաբերություն մինչև հարկեր %</t>
  </si>
  <si>
    <t>Զուտ շահութաբերություն %</t>
  </si>
  <si>
    <t>Արդյունավետության ցուցանիշներ 1 մահճակալի գծով</t>
  </si>
  <si>
    <t>Աշխատավարձի գործակից</t>
  </si>
  <si>
    <t>Կոմունալ ծախսերի գործակից</t>
  </si>
  <si>
    <t>Չափման միավորը` (հազար դրամ)</t>
  </si>
  <si>
    <t>«Զվարթնոց» ավիաօդերևութաբանական կենտրոն ՓԲԸ</t>
  </si>
  <si>
    <t>Որակի կառավարման համակարգի և տնտեսական 
գործուներության տարեկան աուդիտ</t>
  </si>
  <si>
    <t>Չափման միավորը (դրամ)</t>
  </si>
  <si>
    <t>Օդերևութաբանական գործիքների ստուգաչափման և 
ստանդարտացման ծախսեր</t>
  </si>
  <si>
    <t>Օդերևութաբանական սպասարկման անձնակազմի միջին աշխատավարձ ՀՀ դրամ</t>
  </si>
  <si>
    <t>Օդերևութաբանական սպասարկման աշխատողներ</t>
  </si>
  <si>
    <t>Օդերևութաբանական սպասարկման
աշխատողներ</t>
  </si>
  <si>
    <t>Եկամուտներ ընդամենը</t>
  </si>
  <si>
    <t>Թռիչքների անվտանգ, և տեխ. սպասարկման աշխատողներ</t>
  </si>
  <si>
    <t>Թռիչքների անվտանգ, և տեխ. սպասարկման աշխատողներ միջին աշխատավարձ ՀՀ դրամ</t>
  </si>
  <si>
    <t xml:space="preserve">2023թ. 12 ամիս
փաստացի </t>
  </si>
  <si>
    <t>Էլեկտրաէներգիա, ջեռուցում</t>
  </si>
  <si>
    <t xml:space="preserve">2024թ. 12 ամիս
փաստացի </t>
  </si>
  <si>
    <t>2025թ. 3 
ամիս պլան</t>
  </si>
  <si>
    <t>2025թ. 6
ամիս պլան</t>
  </si>
  <si>
    <t>2025թ. 9
ամիս պլան</t>
  </si>
  <si>
    <t>2025թ. Նախահաշիվ</t>
  </si>
  <si>
    <t>* Հիմնական միջոցների արժեքը 126114.8 հզ. դրամից վերցվել է 62000.0 հզ. դրամ ծախս համարվող մասը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</si>
</sst>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դ_ր_._-;\-* #,##0.00\ _դ_ր_._-;_-* &quot;-&quot;??\ _դ_ր_._-;_-@_-"/>
    <numFmt numFmtId="165" formatCode="_-* #,##0\ _դ_ր_._-;\-* #,##0\ _դ_ր_._-;_-* &quot;-&quot;??\ _դ_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0"/>
      <color rgb="FFFF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2" borderId="4" xfId="0" applyFont="1" applyFill="1" applyBorder="1"/>
    <xf numFmtId="0" fontId="3" fillId="0" borderId="4" xfId="0" applyFont="1" applyBorder="1"/>
    <xf numFmtId="165" fontId="3" fillId="0" borderId="0" xfId="0" applyNumberFormat="1" applyFont="1"/>
    <xf numFmtId="0" fontId="3" fillId="0" borderId="4" xfId="0" applyFont="1" applyBorder="1" applyAlignment="1">
      <alignment wrapText="1"/>
    </xf>
    <xf numFmtId="165" fontId="4" fillId="0" borderId="5" xfId="1" applyNumberFormat="1" applyFont="1" applyFill="1" applyBorder="1"/>
    <xf numFmtId="165" fontId="5" fillId="2" borderId="5" xfId="1" applyNumberFormat="1" applyFont="1" applyFill="1" applyBorder="1"/>
    <xf numFmtId="164" fontId="3" fillId="0" borderId="0" xfId="0" applyNumberFormat="1" applyFont="1"/>
    <xf numFmtId="165" fontId="4" fillId="0" borderId="6" xfId="1" applyNumberFormat="1" applyFont="1" applyFill="1" applyBorder="1"/>
    <xf numFmtId="0" fontId="4" fillId="0" borderId="5" xfId="0" applyFont="1" applyBorder="1"/>
    <xf numFmtId="164" fontId="3" fillId="0" borderId="0" xfId="1" applyFont="1"/>
    <xf numFmtId="165" fontId="4" fillId="2" borderId="5" xfId="1" applyNumberFormat="1" applyFont="1" applyFill="1" applyBorder="1"/>
    <xf numFmtId="0" fontId="3" fillId="2" borderId="7" xfId="0" applyFont="1" applyFill="1" applyBorder="1"/>
    <xf numFmtId="165" fontId="5" fillId="2" borderId="8" xfId="1" applyNumberFormat="1" applyFont="1" applyFill="1" applyBorder="1"/>
    <xf numFmtId="165" fontId="4" fillId="0" borderId="0" xfId="1" applyNumberFormat="1" applyFont="1"/>
    <xf numFmtId="165" fontId="3" fillId="0" borderId="0" xfId="1" applyNumberFormat="1" applyFont="1"/>
    <xf numFmtId="0" fontId="3" fillId="0" borderId="1" xfId="0" applyFont="1" applyBorder="1"/>
    <xf numFmtId="0" fontId="3" fillId="0" borderId="7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165" fontId="3" fillId="3" borderId="2" xfId="1" applyNumberFormat="1" applyFont="1" applyFill="1" applyBorder="1"/>
    <xf numFmtId="0" fontId="3" fillId="3" borderId="7" xfId="0" applyFont="1" applyFill="1" applyBorder="1"/>
    <xf numFmtId="165" fontId="3" fillId="3" borderId="8" xfId="1" applyNumberFormat="1" applyFont="1" applyFill="1" applyBorder="1"/>
    <xf numFmtId="165" fontId="4" fillId="0" borderId="2" xfId="1" applyNumberFormat="1" applyFont="1" applyFill="1" applyBorder="1"/>
    <xf numFmtId="165" fontId="4" fillId="0" borderId="0" xfId="1" applyNumberFormat="1" applyFont="1" applyFill="1"/>
    <xf numFmtId="0" fontId="3" fillId="0" borderId="0" xfId="0" applyFont="1" applyFill="1"/>
    <xf numFmtId="165" fontId="3" fillId="0" borderId="0" xfId="0" applyNumberFormat="1" applyFont="1" applyFill="1"/>
    <xf numFmtId="165" fontId="5" fillId="0" borderId="6" xfId="1" applyNumberFormat="1" applyFont="1" applyFill="1" applyBorder="1"/>
    <xf numFmtId="165" fontId="6" fillId="0" borderId="0" xfId="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165" fontId="4" fillId="0" borderId="8" xfId="1" applyNumberFormat="1" applyFont="1" applyFill="1" applyBorder="1"/>
    <xf numFmtId="164" fontId="4" fillId="0" borderId="5" xfId="1" applyFont="1" applyFill="1" applyBorder="1"/>
    <xf numFmtId="165" fontId="4" fillId="3" borderId="2" xfId="1" applyNumberFormat="1" applyFont="1" applyFill="1" applyBorder="1"/>
    <xf numFmtId="165" fontId="4" fillId="3" borderId="8" xfId="1" applyNumberFormat="1" applyFont="1" applyFill="1" applyBorder="1"/>
    <xf numFmtId="165" fontId="5" fillId="2" borderId="5" xfId="0" applyNumberFormat="1" applyFont="1" applyFill="1" applyBorder="1"/>
    <xf numFmtId="165" fontId="4" fillId="0" borderId="5" xfId="1" applyNumberFormat="1" applyFont="1" applyFill="1" applyBorder="1" applyAlignment="1"/>
    <xf numFmtId="0" fontId="4" fillId="0" borderId="2" xfId="0" applyFont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/>
    </xf>
    <xf numFmtId="164" fontId="4" fillId="2" borderId="5" xfId="1" applyFont="1" applyFill="1" applyBorder="1"/>
    <xf numFmtId="165" fontId="4" fillId="3" borderId="5" xfId="1" applyNumberFormat="1" applyFont="1" applyFill="1" applyBorder="1"/>
    <xf numFmtId="165" fontId="3" fillId="0" borderId="5" xfId="1" applyNumberFormat="1" applyFont="1" applyFill="1" applyBorder="1"/>
    <xf numFmtId="164" fontId="4" fillId="0" borderId="5" xfId="1" applyFont="1" applyFill="1" applyBorder="1" applyAlignment="1"/>
    <xf numFmtId="43" fontId="4" fillId="0" borderId="5" xfId="1" applyNumberFormat="1" applyFont="1" applyFill="1" applyBorder="1"/>
    <xf numFmtId="165" fontId="4" fillId="3" borderId="3" xfId="1" applyNumberFormat="1" applyFont="1" applyFill="1" applyBorder="1"/>
    <xf numFmtId="165" fontId="4" fillId="3" borderId="9" xfId="1" applyNumberFormat="1" applyFont="1" applyFill="1" applyBorder="1"/>
    <xf numFmtId="165" fontId="3" fillId="0" borderId="2" xfId="1" applyNumberFormat="1" applyFont="1" applyFill="1" applyBorder="1"/>
    <xf numFmtId="164" fontId="4" fillId="0" borderId="5" xfId="0" applyNumberFormat="1" applyFont="1" applyFill="1" applyBorder="1"/>
    <xf numFmtId="164" fontId="4" fillId="0" borderId="8" xfId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34" zoomScaleNormal="100" workbookViewId="0">
      <selection activeCell="C50" sqref="C50"/>
    </sheetView>
  </sheetViews>
  <sheetFormatPr defaultRowHeight="13.5" x14ac:dyDescent="0.25"/>
  <cols>
    <col min="1" max="1" width="57.140625" style="2" customWidth="1"/>
    <col min="2" max="2" width="14.85546875" style="2" customWidth="1"/>
    <col min="3" max="3" width="14.7109375" style="2" customWidth="1"/>
    <col min="4" max="4" width="15.5703125" style="2" customWidth="1"/>
    <col min="5" max="5" width="16" style="38" customWidth="1"/>
    <col min="6" max="6" width="16.85546875" style="38" customWidth="1"/>
    <col min="7" max="7" width="14.7109375" style="38" bestFit="1" customWidth="1"/>
    <col min="8" max="8" width="12.140625" style="38" customWidth="1"/>
    <col min="9" max="9" width="15.5703125" style="38" bestFit="1" customWidth="1"/>
    <col min="10" max="10" width="12.85546875" style="32" customWidth="1"/>
    <col min="11" max="11" width="17.28515625" style="2" bestFit="1" customWidth="1"/>
    <col min="12" max="12" width="24.5703125" style="2" bestFit="1" customWidth="1"/>
    <col min="13" max="13" width="11.85546875" style="2" customWidth="1"/>
    <col min="14" max="14" width="12.140625" style="2" bestFit="1" customWidth="1"/>
    <col min="15" max="16384" width="9.140625" style="2"/>
  </cols>
  <sheetData>
    <row r="1" spans="1:11" ht="14.25" x14ac:dyDescent="0.25">
      <c r="A1" s="1"/>
      <c r="B1" s="1"/>
      <c r="C1" s="1"/>
      <c r="D1" s="1"/>
      <c r="E1" s="36"/>
      <c r="F1" s="36"/>
      <c r="G1" s="36"/>
      <c r="H1" s="36"/>
      <c r="I1" s="36"/>
    </row>
    <row r="2" spans="1:11" ht="18" customHeight="1" x14ac:dyDescent="0.25">
      <c r="A2" s="2" t="s">
        <v>0</v>
      </c>
      <c r="B2" s="2" t="s">
        <v>58</v>
      </c>
      <c r="C2" s="3"/>
      <c r="D2" s="3"/>
      <c r="E2" s="37"/>
    </row>
    <row r="4" spans="1:11" x14ac:dyDescent="0.25">
      <c r="A4" s="2" t="s">
        <v>1</v>
      </c>
    </row>
    <row r="5" spans="1:11" ht="14.25" thickBot="1" x14ac:dyDescent="0.3">
      <c r="A5" s="2" t="s">
        <v>57</v>
      </c>
    </row>
    <row r="6" spans="1:11" ht="46.5" customHeight="1" x14ac:dyDescent="0.25">
      <c r="A6" s="4" t="s">
        <v>2</v>
      </c>
      <c r="B6" s="5" t="s">
        <v>71</v>
      </c>
      <c r="C6" s="5" t="s">
        <v>72</v>
      </c>
      <c r="D6" s="5" t="s">
        <v>73</v>
      </c>
      <c r="E6" s="5" t="s">
        <v>74</v>
      </c>
      <c r="F6" s="5" t="s">
        <v>70</v>
      </c>
      <c r="G6" s="45" t="s">
        <v>3</v>
      </c>
      <c r="H6" s="45" t="s">
        <v>4</v>
      </c>
      <c r="I6" s="5" t="s">
        <v>68</v>
      </c>
    </row>
    <row r="7" spans="1:11" ht="14.25" x14ac:dyDescent="0.25">
      <c r="A7" s="6" t="s">
        <v>65</v>
      </c>
      <c r="B7" s="43">
        <f>+B8</f>
        <v>148141.95000000001</v>
      </c>
      <c r="C7" s="43">
        <f t="shared" ref="C7:D7" si="0">+C8</f>
        <v>296283.90000000002</v>
      </c>
      <c r="D7" s="43">
        <f t="shared" si="0"/>
        <v>444425.85000000003</v>
      </c>
      <c r="E7" s="43">
        <f>+E8</f>
        <v>592567.80000000005</v>
      </c>
      <c r="F7" s="43">
        <f>+F8+F10+F11</f>
        <v>555454.13494000002</v>
      </c>
      <c r="G7" s="43">
        <f>+G8</f>
        <v>54017.45961000002</v>
      </c>
      <c r="H7" s="43">
        <f>+H8</f>
        <v>10.030159775014234</v>
      </c>
      <c r="I7" s="43">
        <v>589145.79999999993</v>
      </c>
    </row>
    <row r="8" spans="1:11" x14ac:dyDescent="0.25">
      <c r="A8" s="7" t="s">
        <v>5</v>
      </c>
      <c r="B8" s="44">
        <f>+E8/12*3</f>
        <v>148141.95000000001</v>
      </c>
      <c r="C8" s="44">
        <f>+B8*2</f>
        <v>296283.90000000002</v>
      </c>
      <c r="D8" s="44">
        <f>+E8/12*9</f>
        <v>444425.85000000003</v>
      </c>
      <c r="E8" s="44">
        <f>+E9+E10</f>
        <v>592567.80000000005</v>
      </c>
      <c r="F8" s="44">
        <f>+F9</f>
        <v>538550.34039000003</v>
      </c>
      <c r="G8" s="44">
        <f>+E8-F8</f>
        <v>54017.45961000002</v>
      </c>
      <c r="H8" s="50">
        <f>+(G8*100)/F8</f>
        <v>10.030159775014234</v>
      </c>
      <c r="I8" s="44">
        <v>580097</v>
      </c>
    </row>
    <row r="9" spans="1:11" x14ac:dyDescent="0.25">
      <c r="A9" s="7" t="s">
        <v>6</v>
      </c>
      <c r="B9" s="44">
        <f>+B8</f>
        <v>148141.95000000001</v>
      </c>
      <c r="C9" s="44">
        <f>+C8</f>
        <v>296283.90000000002</v>
      </c>
      <c r="D9" s="44">
        <f>+D8</f>
        <v>444425.85000000003</v>
      </c>
      <c r="E9" s="44">
        <v>592567.80000000005</v>
      </c>
      <c r="F9" s="44">
        <v>538550.34039000003</v>
      </c>
      <c r="G9" s="44">
        <f>+E9-F9</f>
        <v>54017.45961000002</v>
      </c>
      <c r="H9" s="50">
        <f>+(G9*100)/F9</f>
        <v>10.030159775014234</v>
      </c>
      <c r="I9" s="44">
        <v>580097</v>
      </c>
    </row>
    <row r="10" spans="1:11" x14ac:dyDescent="0.25">
      <c r="A10" s="7" t="s">
        <v>7</v>
      </c>
      <c r="B10" s="44"/>
      <c r="C10" s="44"/>
      <c r="D10" s="44"/>
      <c r="E10" s="44"/>
      <c r="F10" s="44">
        <v>5138.6945500000002</v>
      </c>
      <c r="G10" s="44">
        <f>+E10-F10</f>
        <v>-5138.6945500000002</v>
      </c>
      <c r="H10" s="44">
        <f>+(G10*100)/F10</f>
        <v>-100</v>
      </c>
      <c r="I10" s="44">
        <v>3320.6</v>
      </c>
      <c r="J10" s="33"/>
    </row>
    <row r="11" spans="1:11" x14ac:dyDescent="0.25">
      <c r="A11" s="7" t="s">
        <v>8</v>
      </c>
      <c r="B11" s="44"/>
      <c r="C11" s="44"/>
      <c r="D11" s="44"/>
      <c r="E11" s="44"/>
      <c r="F11" s="44">
        <v>11765.1</v>
      </c>
      <c r="G11" s="44">
        <f>+E11-F11</f>
        <v>-11765.1</v>
      </c>
      <c r="H11" s="44">
        <f>+(G11*100)/F11</f>
        <v>-100</v>
      </c>
      <c r="I11" s="44">
        <v>5728.2</v>
      </c>
      <c r="J11" s="33"/>
      <c r="K11" s="8"/>
    </row>
    <row r="12" spans="1:11" ht="27" x14ac:dyDescent="0.25">
      <c r="A12" s="9" t="s">
        <v>9</v>
      </c>
      <c r="B12" s="10"/>
      <c r="C12" s="10"/>
      <c r="D12" s="10"/>
      <c r="E12" s="10"/>
      <c r="F12" s="10"/>
      <c r="G12" s="10"/>
      <c r="H12" s="46"/>
      <c r="I12" s="10"/>
      <c r="K12" s="8"/>
    </row>
    <row r="13" spans="1:11" ht="14.25" x14ac:dyDescent="0.25">
      <c r="A13" s="6" t="s">
        <v>10</v>
      </c>
      <c r="B13" s="11">
        <f>+B14</f>
        <v>64000</v>
      </c>
      <c r="C13" s="11">
        <f t="shared" ref="C13:H13" si="1">+C14</f>
        <v>128000</v>
      </c>
      <c r="D13" s="11">
        <f t="shared" si="1"/>
        <v>192000</v>
      </c>
      <c r="E13" s="11">
        <f t="shared" si="1"/>
        <v>256000</v>
      </c>
      <c r="F13" s="11">
        <f>+F14</f>
        <v>238821</v>
      </c>
      <c r="G13" s="11">
        <f>+G14</f>
        <v>17179</v>
      </c>
      <c r="H13" s="11">
        <f t="shared" si="1"/>
        <v>7.1932535246062947</v>
      </c>
      <c r="I13" s="11">
        <v>233023</v>
      </c>
    </row>
    <row r="14" spans="1:11" x14ac:dyDescent="0.25">
      <c r="A14" s="7" t="s">
        <v>11</v>
      </c>
      <c r="B14" s="10">
        <f>+E14/12*3</f>
        <v>64000</v>
      </c>
      <c r="C14" s="10">
        <f>+E14/12*6</f>
        <v>128000</v>
      </c>
      <c r="D14" s="10">
        <f>+E14/12*9</f>
        <v>192000</v>
      </c>
      <c r="E14" s="10">
        <v>256000</v>
      </c>
      <c r="F14" s="10">
        <v>238821</v>
      </c>
      <c r="G14" s="10">
        <f>+E14-F14</f>
        <v>17179</v>
      </c>
      <c r="H14" s="51">
        <f>+(G14*100)/F14</f>
        <v>7.1932535246062947</v>
      </c>
      <c r="I14" s="10">
        <v>233023</v>
      </c>
    </row>
    <row r="15" spans="1:11" x14ac:dyDescent="0.25">
      <c r="A15" s="7" t="s">
        <v>12</v>
      </c>
      <c r="B15" s="10">
        <f>+B14*0.15</f>
        <v>9600</v>
      </c>
      <c r="C15" s="10">
        <f t="shared" ref="C15" si="2">+C14*0.15</f>
        <v>19200</v>
      </c>
      <c r="D15" s="10">
        <f>+D14*0.15</f>
        <v>28800</v>
      </c>
      <c r="E15" s="10">
        <f>+E14*24/100</f>
        <v>61440</v>
      </c>
      <c r="F15" s="10">
        <f>+F14*15%</f>
        <v>35823.15</v>
      </c>
      <c r="G15" s="10">
        <f t="shared" ref="G15:G19" si="3">+E15-F15</f>
        <v>25616.85</v>
      </c>
      <c r="H15" s="10">
        <f>+(G15*100)/F15</f>
        <v>71.509205639370066</v>
      </c>
      <c r="I15" s="10">
        <v>34953.449999999997</v>
      </c>
    </row>
    <row r="16" spans="1:11" ht="27" x14ac:dyDescent="0.25">
      <c r="A16" s="9" t="s">
        <v>64</v>
      </c>
      <c r="B16" s="10">
        <f>+B14*0.65</f>
        <v>41600</v>
      </c>
      <c r="C16" s="10">
        <f t="shared" ref="C16:D16" si="4">+C14*0.65</f>
        <v>83200</v>
      </c>
      <c r="D16" s="10">
        <f t="shared" si="4"/>
        <v>124800</v>
      </c>
      <c r="E16" s="10">
        <f>+E14*56/100</f>
        <v>143360</v>
      </c>
      <c r="F16" s="10">
        <f>+F14-F15-F17</f>
        <v>155233.65</v>
      </c>
      <c r="G16" s="10">
        <f t="shared" si="3"/>
        <v>-11873.649999999994</v>
      </c>
      <c r="H16" s="10">
        <f t="shared" ref="H16:H19" si="5">+(G16*100)/F16</f>
        <v>-7.6488892711084198</v>
      </c>
      <c r="I16" s="10">
        <v>151464.94999999998</v>
      </c>
      <c r="K16" s="8"/>
    </row>
    <row r="17" spans="1:12" x14ac:dyDescent="0.25">
      <c r="A17" s="7" t="s">
        <v>66</v>
      </c>
      <c r="B17" s="10">
        <f>+B14*0.2</f>
        <v>12800</v>
      </c>
      <c r="C17" s="10">
        <f t="shared" ref="C17:D17" si="6">+C14*0.2</f>
        <v>25600</v>
      </c>
      <c r="D17" s="10">
        <f t="shared" si="6"/>
        <v>38400</v>
      </c>
      <c r="E17" s="10">
        <f>+E14*0.2</f>
        <v>51200</v>
      </c>
      <c r="F17" s="10">
        <f>+F14*0.2</f>
        <v>47764.200000000004</v>
      </c>
      <c r="G17" s="10">
        <f t="shared" si="3"/>
        <v>3435.7999999999956</v>
      </c>
      <c r="H17" s="10">
        <f t="shared" si="5"/>
        <v>7.193253524606285</v>
      </c>
      <c r="I17" s="10">
        <v>46604.600000000006</v>
      </c>
    </row>
    <row r="18" spans="1:12" ht="14.25" x14ac:dyDescent="0.25">
      <c r="A18" s="6" t="s">
        <v>13</v>
      </c>
      <c r="B18" s="11">
        <f>+E18/12*3</f>
        <v>2250</v>
      </c>
      <c r="C18" s="11">
        <f>+B18*2</f>
        <v>4500</v>
      </c>
      <c r="D18" s="11">
        <f>+B18+C18</f>
        <v>6750</v>
      </c>
      <c r="E18" s="11">
        <v>9000</v>
      </c>
      <c r="F18" s="11">
        <v>9780.6</v>
      </c>
      <c r="G18" s="11">
        <f t="shared" si="3"/>
        <v>-780.60000000000036</v>
      </c>
      <c r="H18" s="11">
        <f>+(G18*100)/F18</f>
        <v>-7.9811054536531527</v>
      </c>
      <c r="I18" s="11">
        <v>8163</v>
      </c>
      <c r="J18" s="34"/>
      <c r="K18" s="12"/>
      <c r="L18" s="12"/>
    </row>
    <row r="19" spans="1:12" ht="14.25" x14ac:dyDescent="0.25">
      <c r="A19" s="6" t="s">
        <v>14</v>
      </c>
      <c r="B19" s="11">
        <f>+E19/12*3</f>
        <v>875</v>
      </c>
      <c r="C19" s="11">
        <f>+B19*2</f>
        <v>1750</v>
      </c>
      <c r="D19" s="11">
        <f>+B19+C19</f>
        <v>2625</v>
      </c>
      <c r="E19" s="11">
        <v>3500</v>
      </c>
      <c r="F19" s="11">
        <v>743.2</v>
      </c>
      <c r="G19" s="11">
        <f t="shared" si="3"/>
        <v>2756.8</v>
      </c>
      <c r="H19" s="11">
        <f t="shared" si="5"/>
        <v>370.93649085037674</v>
      </c>
      <c r="I19" s="11">
        <v>1940</v>
      </c>
      <c r="K19" s="12"/>
    </row>
    <row r="20" spans="1:12" ht="14.25" x14ac:dyDescent="0.25">
      <c r="A20" s="6" t="s">
        <v>15</v>
      </c>
      <c r="B20" s="11">
        <f t="shared" ref="B20:H20" si="7">+B22</f>
        <v>575</v>
      </c>
      <c r="C20" s="11">
        <f t="shared" si="7"/>
        <v>1150</v>
      </c>
      <c r="D20" s="11">
        <f>+D22</f>
        <v>1725</v>
      </c>
      <c r="E20" s="11">
        <v>3018.9</v>
      </c>
      <c r="F20" s="11">
        <f>+F22</f>
        <v>3770</v>
      </c>
      <c r="G20" s="11">
        <f>+G22</f>
        <v>-1470</v>
      </c>
      <c r="H20" s="11">
        <f t="shared" si="7"/>
        <v>-38.992042440318301</v>
      </c>
      <c r="I20" s="11">
        <v>3760</v>
      </c>
      <c r="J20" s="34"/>
      <c r="K20" s="12"/>
    </row>
    <row r="21" spans="1:12" x14ac:dyDescent="0.25">
      <c r="A21" s="7" t="s">
        <v>16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f t="shared" ref="G21" si="8">+E21-F21</f>
        <v>0</v>
      </c>
      <c r="H21" s="10"/>
      <c r="I21" s="10">
        <v>0</v>
      </c>
    </row>
    <row r="22" spans="1:12" x14ac:dyDescent="0.25">
      <c r="A22" s="7" t="s">
        <v>17</v>
      </c>
      <c r="B22" s="16">
        <f>+E22/12*3</f>
        <v>575</v>
      </c>
      <c r="C22" s="16">
        <f>+B22*2</f>
        <v>1150</v>
      </c>
      <c r="D22" s="16">
        <f>+B22+C22</f>
        <v>1725</v>
      </c>
      <c r="E22" s="16">
        <v>2300</v>
      </c>
      <c r="F22" s="16">
        <v>3770</v>
      </c>
      <c r="G22" s="16">
        <f>+E22-F22</f>
        <v>-1470</v>
      </c>
      <c r="H22" s="16">
        <f>+(G22*100)/F22</f>
        <v>-38.992042440318301</v>
      </c>
      <c r="I22" s="16">
        <v>3760</v>
      </c>
      <c r="J22" s="13"/>
      <c r="K22" s="8"/>
    </row>
    <row r="23" spans="1:12" ht="27" x14ac:dyDescent="0.25">
      <c r="A23" s="9" t="s">
        <v>18</v>
      </c>
      <c r="B23" s="14"/>
      <c r="C23" s="14"/>
      <c r="D23" s="14"/>
      <c r="E23" s="14"/>
      <c r="F23" s="14"/>
      <c r="G23" s="10"/>
      <c r="H23" s="10"/>
      <c r="I23" s="14"/>
    </row>
    <row r="24" spans="1:12" ht="14.25" x14ac:dyDescent="0.25">
      <c r="A24" s="6" t="s">
        <v>19</v>
      </c>
      <c r="B24" s="11">
        <f>SUM(B25:B28)</f>
        <v>1837</v>
      </c>
      <c r="C24" s="11">
        <f t="shared" ref="C24:H24" si="9">SUM(C25:C28)</f>
        <v>3674</v>
      </c>
      <c r="D24" s="11">
        <f>SUM(D25:D28)</f>
        <v>5511</v>
      </c>
      <c r="E24" s="11">
        <f>SUM(E25:E28)</f>
        <v>7348</v>
      </c>
      <c r="F24" s="11">
        <f>SUM(F25:F28)</f>
        <v>5796.7</v>
      </c>
      <c r="G24" s="11">
        <f t="shared" si="9"/>
        <v>1551.3</v>
      </c>
      <c r="H24" s="11">
        <f t="shared" si="9"/>
        <v>79.657087577165697</v>
      </c>
      <c r="I24" s="11">
        <v>4297.5</v>
      </c>
      <c r="J24" s="34"/>
      <c r="K24" s="12"/>
      <c r="L24" s="15"/>
    </row>
    <row r="25" spans="1:12" x14ac:dyDescent="0.25">
      <c r="A25" s="7" t="s">
        <v>69</v>
      </c>
      <c r="B25" s="10">
        <f>+E25/12*3</f>
        <v>1125</v>
      </c>
      <c r="C25" s="10">
        <f>+B25*2</f>
        <v>2250</v>
      </c>
      <c r="D25" s="10">
        <f>+B25+C25</f>
        <v>3375</v>
      </c>
      <c r="E25" s="10">
        <v>4500</v>
      </c>
      <c r="F25" s="10">
        <v>3542.9</v>
      </c>
      <c r="G25" s="10">
        <f>+E25-F25</f>
        <v>957.09999999999991</v>
      </c>
      <c r="H25" s="10">
        <f t="shared" ref="H25:H31" si="10">+(G25*100)/F25</f>
        <v>27.01459256541251</v>
      </c>
      <c r="I25" s="10">
        <v>3177.3</v>
      </c>
      <c r="J25" s="13"/>
      <c r="K25" s="12"/>
    </row>
    <row r="26" spans="1:12" x14ac:dyDescent="0.25">
      <c r="A26" s="7" t="s">
        <v>20</v>
      </c>
      <c r="B26" s="10"/>
      <c r="C26" s="10"/>
      <c r="D26" s="10"/>
      <c r="E26" s="10"/>
      <c r="F26" s="10"/>
      <c r="G26" s="10"/>
      <c r="H26" s="10"/>
      <c r="I26" s="10"/>
      <c r="K26" s="12"/>
    </row>
    <row r="27" spans="1:12" x14ac:dyDescent="0.25">
      <c r="A27" s="7" t="s">
        <v>21</v>
      </c>
      <c r="B27" s="10">
        <f>+E27/12*3</f>
        <v>340</v>
      </c>
      <c r="C27" s="10">
        <f>+B27*2</f>
        <v>680</v>
      </c>
      <c r="D27" s="10">
        <f>+B27+C27</f>
        <v>1020</v>
      </c>
      <c r="E27" s="10">
        <v>1360</v>
      </c>
      <c r="F27" s="10">
        <v>1116</v>
      </c>
      <c r="G27" s="10">
        <f>+E27-F27</f>
        <v>244</v>
      </c>
      <c r="H27" s="10">
        <f t="shared" si="10"/>
        <v>21.863799283154123</v>
      </c>
      <c r="I27" s="10">
        <v>100.2</v>
      </c>
      <c r="J27" s="13"/>
      <c r="K27" s="12"/>
    </row>
    <row r="28" spans="1:12" x14ac:dyDescent="0.25">
      <c r="A28" s="7" t="s">
        <v>22</v>
      </c>
      <c r="B28" s="10">
        <f>+E28/12*3</f>
        <v>372</v>
      </c>
      <c r="C28" s="10">
        <f>+B28*2</f>
        <v>744</v>
      </c>
      <c r="D28" s="10">
        <f>+B28+C28</f>
        <v>1116</v>
      </c>
      <c r="E28" s="10">
        <v>1488</v>
      </c>
      <c r="F28" s="10">
        <v>1137.8</v>
      </c>
      <c r="G28" s="10">
        <f>+E28-F28</f>
        <v>350.20000000000005</v>
      </c>
      <c r="H28" s="10">
        <f t="shared" si="10"/>
        <v>30.778695728599057</v>
      </c>
      <c r="I28" s="10">
        <v>1020</v>
      </c>
      <c r="J28" s="13"/>
      <c r="K28" s="12"/>
    </row>
    <row r="29" spans="1:12" ht="14.25" x14ac:dyDescent="0.25">
      <c r="A29" s="6" t="s">
        <v>23</v>
      </c>
      <c r="B29" s="11">
        <f>+B30+B31</f>
        <v>929.375</v>
      </c>
      <c r="C29" s="11">
        <f t="shared" ref="C29:H29" si="11">+C30+C31</f>
        <v>1858.75</v>
      </c>
      <c r="D29" s="11">
        <f t="shared" si="11"/>
        <v>2788.125</v>
      </c>
      <c r="E29" s="11">
        <f>+E30+E31</f>
        <v>3717.5</v>
      </c>
      <c r="F29" s="11">
        <f>+F30+F31</f>
        <v>3465.7</v>
      </c>
      <c r="G29" s="11">
        <f t="shared" si="11"/>
        <v>251.79999999999995</v>
      </c>
      <c r="H29" s="11">
        <f t="shared" si="11"/>
        <v>32.436497729043737</v>
      </c>
      <c r="I29" s="11">
        <v>3541.96</v>
      </c>
      <c r="K29" s="12"/>
    </row>
    <row r="30" spans="1:12" x14ac:dyDescent="0.25">
      <c r="A30" s="7" t="s">
        <v>24</v>
      </c>
      <c r="B30" s="10">
        <f>+E30/12*3</f>
        <v>638.75</v>
      </c>
      <c r="C30" s="10">
        <f>+B30*2</f>
        <v>1277.5</v>
      </c>
      <c r="D30" s="10">
        <f>+B30+C30</f>
        <v>1916.25</v>
      </c>
      <c r="E30" s="10">
        <v>2555</v>
      </c>
      <c r="F30" s="10">
        <v>2599</v>
      </c>
      <c r="G30" s="10">
        <f t="shared" ref="G30:G39" si="12">+E30-F30</f>
        <v>-44</v>
      </c>
      <c r="H30" s="10">
        <f t="shared" si="10"/>
        <v>-1.6929588303193537</v>
      </c>
      <c r="I30" s="10">
        <v>2542.1</v>
      </c>
      <c r="J30" s="35"/>
      <c r="K30" s="12"/>
    </row>
    <row r="31" spans="1:12" x14ac:dyDescent="0.25">
      <c r="A31" s="7" t="s">
        <v>25</v>
      </c>
      <c r="B31" s="10">
        <f>+E31/12*3</f>
        <v>290.625</v>
      </c>
      <c r="C31" s="10">
        <f>+B31*2</f>
        <v>581.25</v>
      </c>
      <c r="D31" s="10">
        <f>+B31+C31</f>
        <v>871.875</v>
      </c>
      <c r="E31" s="10">
        <v>1162.5</v>
      </c>
      <c r="F31" s="10">
        <v>866.7</v>
      </c>
      <c r="G31" s="10">
        <f t="shared" ref="G31:G38" si="13">+E31-F31</f>
        <v>295.79999999999995</v>
      </c>
      <c r="H31" s="10">
        <f t="shared" si="10"/>
        <v>34.129456559363092</v>
      </c>
      <c r="I31" s="10">
        <v>999.86</v>
      </c>
      <c r="J31" s="13"/>
      <c r="K31" s="12"/>
    </row>
    <row r="32" spans="1:12" x14ac:dyDescent="0.25">
      <c r="A32" s="6" t="s">
        <v>26</v>
      </c>
      <c r="B32" s="16">
        <f>+E32/12*3</f>
        <v>15750</v>
      </c>
      <c r="C32" s="16">
        <f>+B32*2</f>
        <v>31500</v>
      </c>
      <c r="D32" s="16">
        <f>+B32+C32</f>
        <v>47250</v>
      </c>
      <c r="E32" s="16">
        <v>63000</v>
      </c>
      <c r="F32" s="16">
        <v>62116.9</v>
      </c>
      <c r="G32" s="16">
        <f t="shared" si="13"/>
        <v>883.09999999999854</v>
      </c>
      <c r="H32" s="47">
        <f>+(G32*100)/F32</f>
        <v>1.421674294757141</v>
      </c>
      <c r="I32" s="16">
        <v>51400</v>
      </c>
      <c r="K32" s="12"/>
    </row>
    <row r="33" spans="1:14" x14ac:dyDescent="0.25">
      <c r="A33" s="6" t="s">
        <v>27</v>
      </c>
      <c r="B33" s="16">
        <f>+E33/12*3</f>
        <v>337.5</v>
      </c>
      <c r="C33" s="16">
        <f>+B33*2</f>
        <v>675</v>
      </c>
      <c r="D33" s="16">
        <f>+B33+C33</f>
        <v>1012.5</v>
      </c>
      <c r="E33" s="16">
        <v>1350</v>
      </c>
      <c r="F33" s="16">
        <v>3630</v>
      </c>
      <c r="G33" s="16">
        <f t="shared" si="13"/>
        <v>-2280</v>
      </c>
      <c r="H33" s="16">
        <f>+(G33*100)/F33</f>
        <v>-62.809917355371901</v>
      </c>
      <c r="I33" s="16">
        <v>3630</v>
      </c>
      <c r="K33" s="12"/>
    </row>
    <row r="34" spans="1:14" ht="27" x14ac:dyDescent="0.25">
      <c r="A34" s="9" t="s">
        <v>28</v>
      </c>
      <c r="B34" s="10">
        <f t="shared" ref="B34:B42" si="14">+E34/12*3</f>
        <v>7758.6999999999989</v>
      </c>
      <c r="C34" s="10">
        <f t="shared" ref="C34:C42" si="15">+B34*2</f>
        <v>15517.399999999998</v>
      </c>
      <c r="D34" s="10">
        <f t="shared" ref="D34:D42" si="16">+B34+C34</f>
        <v>23276.1</v>
      </c>
      <c r="E34" s="10">
        <v>31034.799999999999</v>
      </c>
      <c r="F34" s="10">
        <v>22800</v>
      </c>
      <c r="G34" s="10">
        <f t="shared" si="13"/>
        <v>8234.7999999999993</v>
      </c>
      <c r="H34" s="10">
        <f t="shared" ref="H34:H43" si="17">+(G34*100)/F34</f>
        <v>36.117543859649118</v>
      </c>
      <c r="I34" s="10">
        <v>20488</v>
      </c>
      <c r="J34" s="13"/>
      <c r="K34" s="12"/>
    </row>
    <row r="35" spans="1:14" x14ac:dyDescent="0.25">
      <c r="A35" s="7" t="s">
        <v>29</v>
      </c>
      <c r="B35" s="10">
        <f t="shared" si="14"/>
        <v>250</v>
      </c>
      <c r="C35" s="10">
        <f t="shared" si="15"/>
        <v>500</v>
      </c>
      <c r="D35" s="10">
        <f t="shared" si="16"/>
        <v>750</v>
      </c>
      <c r="E35" s="10">
        <v>1000</v>
      </c>
      <c r="F35" s="10">
        <v>500</v>
      </c>
      <c r="G35" s="10">
        <f t="shared" si="13"/>
        <v>500</v>
      </c>
      <c r="H35" s="10">
        <f t="shared" si="17"/>
        <v>100</v>
      </c>
      <c r="I35" s="10">
        <v>250</v>
      </c>
      <c r="K35" s="12"/>
    </row>
    <row r="36" spans="1:14" x14ac:dyDescent="0.25">
      <c r="A36" s="7" t="s">
        <v>30</v>
      </c>
      <c r="B36" s="10">
        <f t="shared" si="14"/>
        <v>1242.75</v>
      </c>
      <c r="C36" s="10">
        <f t="shared" si="15"/>
        <v>2485.5</v>
      </c>
      <c r="D36" s="10">
        <f t="shared" si="16"/>
        <v>3728.25</v>
      </c>
      <c r="E36" s="10">
        <v>4971</v>
      </c>
      <c r="F36" s="10">
        <v>3627.7</v>
      </c>
      <c r="G36" s="10">
        <f>+E36-F36</f>
        <v>1343.3000000000002</v>
      </c>
      <c r="H36" s="51">
        <f>+(G36*100)/F36</f>
        <v>37.028971524657507</v>
      </c>
      <c r="I36" s="10">
        <v>3271.3</v>
      </c>
      <c r="J36" s="13"/>
      <c r="K36" s="12"/>
    </row>
    <row r="37" spans="1:14" x14ac:dyDescent="0.25">
      <c r="A37" s="7" t="s">
        <v>31</v>
      </c>
      <c r="B37" s="10">
        <f t="shared" si="14"/>
        <v>2480.125</v>
      </c>
      <c r="C37" s="10">
        <f t="shared" si="15"/>
        <v>4960.25</v>
      </c>
      <c r="D37" s="10">
        <f t="shared" si="16"/>
        <v>7440.375</v>
      </c>
      <c r="E37" s="10">
        <f>13638-3717.5</f>
        <v>9920.5</v>
      </c>
      <c r="F37" s="10">
        <v>2917.3</v>
      </c>
      <c r="G37" s="10">
        <f t="shared" si="13"/>
        <v>7003.2</v>
      </c>
      <c r="H37" s="10">
        <f t="shared" si="17"/>
        <v>240.05758749528673</v>
      </c>
      <c r="I37" s="10">
        <v>7538.5</v>
      </c>
      <c r="J37" s="13"/>
      <c r="K37" s="12"/>
    </row>
    <row r="38" spans="1:14" x14ac:dyDescent="0.25">
      <c r="A38" s="7" t="s">
        <v>32</v>
      </c>
      <c r="B38" s="10">
        <f>+E38/12*3</f>
        <v>3710.5</v>
      </c>
      <c r="C38" s="10">
        <f t="shared" si="15"/>
        <v>7421</v>
      </c>
      <c r="D38" s="10">
        <f>+B38+C38</f>
        <v>11131.5</v>
      </c>
      <c r="E38" s="10">
        <v>14842</v>
      </c>
      <c r="F38" s="10">
        <v>4888.6000000000004</v>
      </c>
      <c r="G38" s="10">
        <f t="shared" si="13"/>
        <v>9953.4</v>
      </c>
      <c r="H38" s="10">
        <f t="shared" si="17"/>
        <v>203.60430389068443</v>
      </c>
      <c r="I38" s="10">
        <v>14879</v>
      </c>
      <c r="K38" s="12"/>
    </row>
    <row r="39" spans="1:14" ht="33" customHeight="1" x14ac:dyDescent="0.25">
      <c r="A39" s="9" t="s">
        <v>61</v>
      </c>
      <c r="B39" s="10">
        <f t="shared" si="14"/>
        <v>87.5</v>
      </c>
      <c r="C39" s="10">
        <f t="shared" si="15"/>
        <v>175</v>
      </c>
      <c r="D39" s="10">
        <f t="shared" si="16"/>
        <v>262.5</v>
      </c>
      <c r="E39" s="10">
        <v>350</v>
      </c>
      <c r="F39" s="10">
        <v>272.5</v>
      </c>
      <c r="G39" s="10">
        <f t="shared" si="12"/>
        <v>77.5</v>
      </c>
      <c r="H39" s="10">
        <f t="shared" si="17"/>
        <v>28.440366972477065</v>
      </c>
      <c r="I39" s="10">
        <v>250</v>
      </c>
      <c r="K39" s="12"/>
      <c r="L39" s="15"/>
    </row>
    <row r="40" spans="1:14" ht="30" customHeight="1" x14ac:dyDescent="0.25">
      <c r="A40" s="9" t="s">
        <v>59</v>
      </c>
      <c r="B40" s="10">
        <f t="shared" si="14"/>
        <v>187.5</v>
      </c>
      <c r="C40" s="10">
        <f t="shared" si="15"/>
        <v>375</v>
      </c>
      <c r="D40" s="10">
        <f t="shared" si="16"/>
        <v>562.5</v>
      </c>
      <c r="E40" s="10">
        <v>750</v>
      </c>
      <c r="F40" s="10">
        <v>540</v>
      </c>
      <c r="G40" s="10">
        <f>+E40-F40</f>
        <v>210</v>
      </c>
      <c r="H40" s="10">
        <f t="shared" si="17"/>
        <v>38.888888888888886</v>
      </c>
      <c r="I40" s="10">
        <v>540</v>
      </c>
      <c r="K40" s="12"/>
      <c r="L40" s="15"/>
    </row>
    <row r="41" spans="1:14" x14ac:dyDescent="0.25">
      <c r="A41" s="7" t="s">
        <v>33</v>
      </c>
      <c r="B41" s="10">
        <f t="shared" si="14"/>
        <v>0</v>
      </c>
      <c r="C41" s="10">
        <f t="shared" si="15"/>
        <v>0</v>
      </c>
      <c r="D41" s="10">
        <f t="shared" si="16"/>
        <v>0</v>
      </c>
      <c r="E41" s="10"/>
      <c r="F41" s="10">
        <v>14086.8</v>
      </c>
      <c r="G41" s="10">
        <f t="shared" ref="G41" si="18">+E41-F41</f>
        <v>-14086.8</v>
      </c>
      <c r="H41" s="10">
        <f t="shared" si="17"/>
        <v>-100</v>
      </c>
      <c r="I41" s="10">
        <v>12496</v>
      </c>
      <c r="K41" s="12"/>
      <c r="L41" s="15"/>
    </row>
    <row r="42" spans="1:14" x14ac:dyDescent="0.25">
      <c r="A42" s="7" t="s">
        <v>34</v>
      </c>
      <c r="B42" s="10">
        <f t="shared" si="14"/>
        <v>1875</v>
      </c>
      <c r="C42" s="10">
        <f t="shared" si="15"/>
        <v>3750</v>
      </c>
      <c r="D42" s="10">
        <f t="shared" si="16"/>
        <v>5625</v>
      </c>
      <c r="E42" s="10">
        <v>7500</v>
      </c>
      <c r="F42" s="10">
        <v>7603.4</v>
      </c>
      <c r="G42" s="10">
        <f>+E42-F42</f>
        <v>-103.39999999999964</v>
      </c>
      <c r="H42" s="10">
        <f t="shared" si="17"/>
        <v>-1.3599179314517142</v>
      </c>
      <c r="I42" s="10">
        <v>5885.3</v>
      </c>
      <c r="K42" s="15"/>
      <c r="L42" s="15"/>
    </row>
    <row r="43" spans="1:14" ht="14.25" x14ac:dyDescent="0.25">
      <c r="A43" s="6" t="s">
        <v>35</v>
      </c>
      <c r="B43" s="11">
        <f>+B7-B13-B18-B19-B20-B24-B29-B32-B34-B35-B36-B37-B38-B39-B40-B33</f>
        <v>45871.000000000015</v>
      </c>
      <c r="C43" s="11">
        <f t="shared" ref="C43" si="19">+C7-C13-C18-C19-C20-C24-C29-C32-C34-C35-C36-C37-C38-C39-C40-C33</f>
        <v>91742.000000000029</v>
      </c>
      <c r="D43" s="11">
        <f>+D7-D13-D18-D19-D20-D24-D29-D32-D34-D35-D36-D37-D38-D39-D40-D33</f>
        <v>137613.00000000003</v>
      </c>
      <c r="E43" s="11">
        <f>+E7-E13-E18-E19-E20-E24-E29-E32-E34-E35-E36-E37-E38-E39-E40-E33-E41-E42</f>
        <v>175265.10000000003</v>
      </c>
      <c r="F43" s="11">
        <f>+F7-F13-F18-F19-F20-F24-F29-F32-F34-F35-F36-F37-F38-F39-F40-F33-F41-F42</f>
        <v>170093.73494000002</v>
      </c>
      <c r="G43" s="11">
        <f>+G7-G13-G18-G19-G20-G24-G29-G32-G34-G35-G36-G37-G38-G39-G40-G33+G41+G42</f>
        <v>-5586.3403899999867</v>
      </c>
      <c r="H43" s="11">
        <f t="shared" si="17"/>
        <v>-3.2842716940577201</v>
      </c>
      <c r="I43" s="11">
        <v>213792.23999999993</v>
      </c>
      <c r="J43" s="33"/>
      <c r="K43" s="15"/>
      <c r="L43" s="15"/>
      <c r="M43" s="8"/>
    </row>
    <row r="44" spans="1:14" x14ac:dyDescent="0.25">
      <c r="A44" s="7" t="s">
        <v>36</v>
      </c>
      <c r="B44" s="10">
        <f>+B43*18%</f>
        <v>8256.7800000000025</v>
      </c>
      <c r="C44" s="10">
        <f t="shared" ref="C44:D44" si="20">+C43*18%</f>
        <v>16513.560000000005</v>
      </c>
      <c r="D44" s="10">
        <f t="shared" si="20"/>
        <v>24770.340000000004</v>
      </c>
      <c r="E44" s="10">
        <f>+E43*18%</f>
        <v>31547.718000000004</v>
      </c>
      <c r="F44" s="10">
        <v>35361.517930000002</v>
      </c>
      <c r="G44" s="10"/>
      <c r="H44" s="10"/>
      <c r="I44" s="10">
        <v>43921</v>
      </c>
      <c r="J44" s="33"/>
      <c r="K44" s="15"/>
      <c r="L44" s="15"/>
    </row>
    <row r="45" spans="1:14" ht="15" thickBot="1" x14ac:dyDescent="0.3">
      <c r="A45" s="17" t="s">
        <v>37</v>
      </c>
      <c r="B45" s="18">
        <f>+B43-B44</f>
        <v>37614.220000000016</v>
      </c>
      <c r="C45" s="18">
        <f t="shared" ref="C45:G45" si="21">+C43-C44</f>
        <v>75228.440000000031</v>
      </c>
      <c r="D45" s="18">
        <f t="shared" si="21"/>
        <v>112842.66000000003</v>
      </c>
      <c r="E45" s="18">
        <f>+E43-E44</f>
        <v>143717.38200000004</v>
      </c>
      <c r="F45" s="18">
        <f>+F43-F44</f>
        <v>134732.21701000002</v>
      </c>
      <c r="G45" s="18">
        <f t="shared" si="21"/>
        <v>-5586.3403899999867</v>
      </c>
      <c r="H45" s="18">
        <f>+H43-H44</f>
        <v>-3.2842716940577201</v>
      </c>
      <c r="I45" s="18">
        <v>169871.23999999993</v>
      </c>
      <c r="J45" s="33"/>
      <c r="K45" s="15"/>
      <c r="L45" s="15"/>
      <c r="M45" s="8"/>
    </row>
    <row r="46" spans="1:14" ht="15" thickBot="1" x14ac:dyDescent="0.3">
      <c r="A46" s="3" t="s">
        <v>38</v>
      </c>
      <c r="B46" s="19"/>
      <c r="C46" s="19"/>
      <c r="D46" s="19"/>
      <c r="E46" s="19"/>
      <c r="F46" s="19"/>
      <c r="G46" s="31"/>
      <c r="H46" s="31"/>
      <c r="I46" s="31"/>
      <c r="K46" s="15"/>
      <c r="L46" s="15"/>
      <c r="N46" s="8"/>
    </row>
    <row r="47" spans="1:14" x14ac:dyDescent="0.25">
      <c r="A47" s="21" t="s">
        <v>39</v>
      </c>
      <c r="B47" s="54">
        <v>53</v>
      </c>
      <c r="C47" s="54">
        <v>52</v>
      </c>
      <c r="D47" s="54">
        <v>52</v>
      </c>
      <c r="E47" s="54">
        <v>52</v>
      </c>
      <c r="F47" s="30">
        <v>52</v>
      </c>
      <c r="G47" s="30">
        <f>+E47-F47</f>
        <v>0</v>
      </c>
      <c r="H47" s="30">
        <f t="shared" ref="H47:H48" si="22">+(G47*100)/F47</f>
        <v>0</v>
      </c>
      <c r="I47" s="30">
        <v>50</v>
      </c>
      <c r="K47" s="15"/>
      <c r="L47" s="8"/>
    </row>
    <row r="48" spans="1:14" x14ac:dyDescent="0.25">
      <c r="A48" s="7" t="s">
        <v>12</v>
      </c>
      <c r="B48" s="10">
        <v>6</v>
      </c>
      <c r="C48" s="10">
        <v>6</v>
      </c>
      <c r="D48" s="10">
        <v>6</v>
      </c>
      <c r="E48" s="10">
        <v>6</v>
      </c>
      <c r="F48" s="10">
        <v>6</v>
      </c>
      <c r="G48" s="10">
        <f>+E48-F48</f>
        <v>0</v>
      </c>
      <c r="H48" s="10">
        <f t="shared" si="22"/>
        <v>0</v>
      </c>
      <c r="I48" s="10">
        <v>6</v>
      </c>
      <c r="K48" s="15"/>
    </row>
    <row r="49" spans="1:13" x14ac:dyDescent="0.25">
      <c r="A49" s="7" t="s">
        <v>63</v>
      </c>
      <c r="B49" s="10">
        <f>+B47-B48-B50</f>
        <v>38</v>
      </c>
      <c r="C49" s="10">
        <f t="shared" ref="C49:E49" si="23">+C47-C48-C50</f>
        <v>37</v>
      </c>
      <c r="D49" s="10">
        <f t="shared" si="23"/>
        <v>37</v>
      </c>
      <c r="E49" s="10">
        <f t="shared" si="23"/>
        <v>37</v>
      </c>
      <c r="F49" s="10">
        <f>+F47-F48-F50</f>
        <v>37</v>
      </c>
      <c r="G49" s="10">
        <f>+E49-F49</f>
        <v>0</v>
      </c>
      <c r="H49" s="40">
        <f>+(G49*100)/F49</f>
        <v>0</v>
      </c>
      <c r="I49" s="10">
        <v>35</v>
      </c>
      <c r="K49" s="15"/>
      <c r="L49" s="12"/>
    </row>
    <row r="50" spans="1:13" x14ac:dyDescent="0.25">
      <c r="A50" s="7" t="s">
        <v>66</v>
      </c>
      <c r="B50" s="10">
        <v>9</v>
      </c>
      <c r="C50" s="10">
        <v>9</v>
      </c>
      <c r="D50" s="10">
        <v>9</v>
      </c>
      <c r="E50" s="10">
        <v>9</v>
      </c>
      <c r="F50" s="10">
        <v>9</v>
      </c>
      <c r="G50" s="10">
        <f>+E50-F50</f>
        <v>0</v>
      </c>
      <c r="H50" s="40">
        <f>+(G50*100)/F50</f>
        <v>0</v>
      </c>
      <c r="I50" s="10">
        <v>9</v>
      </c>
      <c r="K50" s="15"/>
      <c r="L50" s="8"/>
    </row>
    <row r="51" spans="1:13" x14ac:dyDescent="0.25">
      <c r="A51" s="7" t="s">
        <v>40</v>
      </c>
      <c r="B51" s="10"/>
      <c r="C51" s="10"/>
      <c r="D51" s="10"/>
      <c r="E51" s="10"/>
      <c r="F51" s="10"/>
      <c r="G51" s="10"/>
      <c r="H51" s="10"/>
      <c r="I51" s="10"/>
    </row>
    <row r="52" spans="1:13" ht="14.25" thickBot="1" x14ac:dyDescent="0.3">
      <c r="A52" s="22" t="s">
        <v>41</v>
      </c>
      <c r="B52" s="39"/>
      <c r="C52" s="39"/>
      <c r="D52" s="39"/>
      <c r="E52" s="39"/>
      <c r="F52" s="39"/>
      <c r="G52" s="39"/>
      <c r="H52" s="39"/>
      <c r="I52" s="39"/>
    </row>
    <row r="53" spans="1:13" ht="27" x14ac:dyDescent="0.25">
      <c r="A53" s="23" t="s">
        <v>42</v>
      </c>
      <c r="B53" s="31"/>
      <c r="C53" s="31"/>
      <c r="D53" s="31"/>
      <c r="E53" s="31"/>
      <c r="F53" s="31"/>
      <c r="G53" s="31"/>
      <c r="H53" s="31"/>
      <c r="I53" s="31"/>
    </row>
    <row r="54" spans="1:13" ht="14.25" thickBot="1" x14ac:dyDescent="0.3">
      <c r="A54" s="2" t="s">
        <v>60</v>
      </c>
      <c r="B54" s="31"/>
      <c r="C54" s="31"/>
      <c r="D54" s="31"/>
      <c r="E54" s="31"/>
      <c r="F54" s="31"/>
      <c r="G54" s="31"/>
      <c r="H54" s="31"/>
      <c r="I54" s="31"/>
    </row>
    <row r="55" spans="1:13" ht="27" x14ac:dyDescent="0.25">
      <c r="A55" s="24" t="s">
        <v>43</v>
      </c>
      <c r="B55" s="30">
        <v>100</v>
      </c>
      <c r="C55" s="30">
        <v>100</v>
      </c>
      <c r="D55" s="30">
        <v>100</v>
      </c>
      <c r="E55" s="30">
        <v>100</v>
      </c>
      <c r="F55" s="30">
        <v>100</v>
      </c>
      <c r="G55" s="30">
        <v>0</v>
      </c>
      <c r="H55" s="30">
        <v>0</v>
      </c>
      <c r="I55" s="30">
        <v>100</v>
      </c>
    </row>
    <row r="56" spans="1:13" ht="27" x14ac:dyDescent="0.25">
      <c r="A56" s="9" t="s">
        <v>44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</row>
    <row r="57" spans="1:13" x14ac:dyDescent="0.25">
      <c r="A57" s="9" t="s">
        <v>45</v>
      </c>
      <c r="B57" s="49">
        <v>336293</v>
      </c>
      <c r="C57" s="49">
        <v>336293</v>
      </c>
      <c r="D57" s="49">
        <v>336293</v>
      </c>
      <c r="E57" s="49">
        <v>336293</v>
      </c>
      <c r="F57" s="49">
        <v>336293</v>
      </c>
      <c r="G57" s="10">
        <f>+E57-F57</f>
        <v>0</v>
      </c>
      <c r="H57" s="40">
        <f>+(G57*H59100)/F57</f>
        <v>0</v>
      </c>
      <c r="I57" s="10">
        <v>333750</v>
      </c>
      <c r="J57" s="33"/>
    </row>
    <row r="58" spans="1:13" ht="36.75" customHeight="1" x14ac:dyDescent="0.25">
      <c r="A58" s="9" t="s">
        <v>46</v>
      </c>
      <c r="B58" s="10">
        <v>433390</v>
      </c>
      <c r="C58" s="10">
        <v>433390</v>
      </c>
      <c r="D58" s="10">
        <v>433390</v>
      </c>
      <c r="E58" s="10">
        <v>433390</v>
      </c>
      <c r="F58" s="10">
        <v>433390</v>
      </c>
      <c r="G58" s="10">
        <f>+E58-F58</f>
        <v>0</v>
      </c>
      <c r="H58" s="40">
        <f t="shared" ref="H58:H60" si="24">+(G58*100)/F58</f>
        <v>0</v>
      </c>
      <c r="I58" s="10">
        <v>431800</v>
      </c>
      <c r="J58" s="33"/>
      <c r="K58" s="15"/>
      <c r="M58" s="8"/>
    </row>
    <row r="59" spans="1:13" ht="27" x14ac:dyDescent="0.25">
      <c r="A59" s="9" t="s">
        <v>62</v>
      </c>
      <c r="B59" s="48">
        <v>278010</v>
      </c>
      <c r="C59" s="48">
        <v>278010</v>
      </c>
      <c r="D59" s="48">
        <v>278010</v>
      </c>
      <c r="E59" s="48">
        <v>278010</v>
      </c>
      <c r="F59" s="48">
        <v>278010</v>
      </c>
      <c r="G59" s="10">
        <f>+E59-F59</f>
        <v>0</v>
      </c>
      <c r="H59" s="40">
        <f t="shared" si="24"/>
        <v>0</v>
      </c>
      <c r="I59" s="10">
        <v>275360</v>
      </c>
      <c r="J59" s="33"/>
      <c r="K59" s="15"/>
      <c r="M59" s="8"/>
    </row>
    <row r="60" spans="1:13" ht="27" x14ac:dyDescent="0.25">
      <c r="A60" s="9" t="s">
        <v>67</v>
      </c>
      <c r="B60" s="48">
        <v>297480</v>
      </c>
      <c r="C60" s="48">
        <v>297480</v>
      </c>
      <c r="D60" s="48">
        <v>297480</v>
      </c>
      <c r="E60" s="48">
        <v>297480</v>
      </c>
      <c r="F60" s="10">
        <v>297480</v>
      </c>
      <c r="G60" s="10">
        <f>+E60-F60</f>
        <v>0</v>
      </c>
      <c r="H60" s="40">
        <f t="shared" si="24"/>
        <v>0</v>
      </c>
      <c r="I60" s="10">
        <v>294100</v>
      </c>
      <c r="J60" s="33"/>
      <c r="K60" s="15"/>
      <c r="M60" s="8"/>
    </row>
    <row r="61" spans="1:13" x14ac:dyDescent="0.25">
      <c r="A61" s="9" t="s">
        <v>47</v>
      </c>
      <c r="B61" s="55">
        <f>+B13*100/(+B13+B18+B19+B20+B24+B29+B32+B33)</f>
        <v>73.942385595099012</v>
      </c>
      <c r="C61" s="55">
        <f t="shared" ref="C61:H61" si="25">+C13*100/(+C13+C18+C19+C20+C24+C29+C32+C33)</f>
        <v>73.942385595099012</v>
      </c>
      <c r="D61" s="55">
        <f t="shared" si="25"/>
        <v>73.942385595099012</v>
      </c>
      <c r="E61" s="55">
        <f t="shared" si="25"/>
        <v>73.78916590571589</v>
      </c>
      <c r="F61" s="55">
        <f t="shared" si="25"/>
        <v>72.783742492550829</v>
      </c>
      <c r="G61" s="55">
        <f t="shared" si="25"/>
        <v>94.956719767403314</v>
      </c>
      <c r="H61" s="55">
        <f t="shared" si="25"/>
        <v>1.8837314733679962</v>
      </c>
      <c r="I61" s="55">
        <v>76.79101354436159</v>
      </c>
    </row>
    <row r="62" spans="1:13" x14ac:dyDescent="0.25">
      <c r="A62" s="9" t="s">
        <v>48</v>
      </c>
      <c r="B62" s="40">
        <f>+B22*100/(+B13+B18+B19+B20+B29+B32+B33)</f>
        <v>0.67873136255321032</v>
      </c>
      <c r="C62" s="40">
        <f t="shared" ref="C62:H62" si="26">+C22*100/(+C13+C18+C19+C20+C29+C32+C33)</f>
        <v>0.67873136255321032</v>
      </c>
      <c r="D62" s="40">
        <f t="shared" si="26"/>
        <v>0.67873136255321032</v>
      </c>
      <c r="E62" s="40">
        <f t="shared" si="26"/>
        <v>0.677294497070554</v>
      </c>
      <c r="F62" s="40">
        <f t="shared" si="26"/>
        <v>1.1696182204801702</v>
      </c>
      <c r="G62" s="40">
        <f t="shared" si="26"/>
        <v>-8.8874916112961841</v>
      </c>
      <c r="H62" s="40">
        <f t="shared" si="26"/>
        <v>-12.902520357304487</v>
      </c>
      <c r="I62" s="40">
        <v>0.98559107283295944</v>
      </c>
    </row>
    <row r="63" spans="1:13" x14ac:dyDescent="0.25">
      <c r="A63" s="9" t="s">
        <v>49</v>
      </c>
      <c r="B63" s="40">
        <f>+B24*100/(B13+B18+B19+B20+B24+B29+B32+B33)</f>
        <v>2.122377536534326</v>
      </c>
      <c r="C63" s="40">
        <f>+C24*100/(C13+C18+C19+C20+C24+C29+C32+C33)</f>
        <v>2.122377536534326</v>
      </c>
      <c r="D63" s="40">
        <f t="shared" ref="D63:H63" si="27">+D24*100/(D13+D18+D19+D20+D24+D29+D32+D33)</f>
        <v>2.122377536534326</v>
      </c>
      <c r="E63" s="40">
        <f t="shared" si="27"/>
        <v>2.1179796526375014</v>
      </c>
      <c r="F63" s="40">
        <f t="shared" si="27"/>
        <v>1.7666181789146238</v>
      </c>
      <c r="G63" s="40">
        <f t="shared" si="27"/>
        <v>8.5747924428181364</v>
      </c>
      <c r="H63" s="40">
        <f t="shared" si="27"/>
        <v>20.860179949538288</v>
      </c>
      <c r="I63" s="40">
        <v>1.9913035716376148</v>
      </c>
    </row>
    <row r="64" spans="1:13" x14ac:dyDescent="0.25">
      <c r="A64" s="9" t="s">
        <v>50</v>
      </c>
      <c r="B64" s="40">
        <f>+B29*100/(+B13+B18+B19+B20+B24+B29+B32+B33)</f>
        <v>1.0737531970694554</v>
      </c>
      <c r="C64" s="40">
        <f t="shared" ref="C64:H64" si="28">+C29*100/(+C13+C18+C19+C20+C24+C29+C32+C33)</f>
        <v>1.0737531970694554</v>
      </c>
      <c r="D64" s="40">
        <f t="shared" si="28"/>
        <v>1.0737531970694554</v>
      </c>
      <c r="E64" s="40">
        <f t="shared" si="28"/>
        <v>1.071528219744136</v>
      </c>
      <c r="F64" s="40">
        <f t="shared" si="28"/>
        <v>1.0562162303835652</v>
      </c>
      <c r="G64" s="40">
        <f t="shared" si="28"/>
        <v>1.3918215284610367</v>
      </c>
      <c r="H64" s="40">
        <f t="shared" si="28"/>
        <v>8.4942997558776394</v>
      </c>
      <c r="I64" s="40">
        <v>1.2514194069512896</v>
      </c>
    </row>
    <row r="65" spans="1:9" x14ac:dyDescent="0.25">
      <c r="A65" s="9" t="s">
        <v>51</v>
      </c>
      <c r="B65" s="40">
        <f>+B33*100/(+B13+B18+B19+B20+B24+B29+B32)</f>
        <v>0.39145695930732416</v>
      </c>
      <c r="C65" s="40">
        <f t="shared" ref="C65:H65" si="29">+C33*100/(+C13+C18+C19+C20+C24+C29+C32)</f>
        <v>0.39145695930732416</v>
      </c>
      <c r="D65" s="40">
        <f t="shared" si="29"/>
        <v>0.39145695930732416</v>
      </c>
      <c r="E65" s="40">
        <f t="shared" si="29"/>
        <v>0.39064263317441411</v>
      </c>
      <c r="F65" s="40">
        <f t="shared" si="29"/>
        <v>1.1186644071494674</v>
      </c>
      <c r="G65" s="40">
        <f t="shared" si="29"/>
        <v>-11.192161559833886</v>
      </c>
      <c r="H65" s="40">
        <f t="shared" si="29"/>
        <v>-14.125003976818466</v>
      </c>
      <c r="I65" s="40">
        <v>2.001570210187261</v>
      </c>
    </row>
    <row r="66" spans="1:9" x14ac:dyDescent="0.25">
      <c r="A66" s="9" t="s">
        <v>52</v>
      </c>
      <c r="B66" s="40">
        <f>+B43*100/B7</f>
        <v>30.964220465573739</v>
      </c>
      <c r="C66" s="40">
        <f t="shared" ref="C66:G66" si="30">+C43*100/C7</f>
        <v>30.964220465573739</v>
      </c>
      <c r="D66" s="40">
        <f t="shared" si="30"/>
        <v>30.964220465573735</v>
      </c>
      <c r="E66" s="40">
        <f t="shared" si="30"/>
        <v>29.577223062069862</v>
      </c>
      <c r="F66" s="40">
        <f t="shared" si="30"/>
        <v>30.622462637418931</v>
      </c>
      <c r="G66" s="40">
        <f t="shared" si="30"/>
        <v>-10.341731044615456</v>
      </c>
      <c r="H66" s="40">
        <f>+H34*100/(+H14+H19+H20+H21+H25+H30+H33)</f>
        <v>11.973351071410514</v>
      </c>
      <c r="I66" s="40">
        <v>31.668225352649401</v>
      </c>
    </row>
    <row r="67" spans="1:9" ht="18.75" customHeight="1" thickBot="1" x14ac:dyDescent="0.3">
      <c r="A67" s="25" t="s">
        <v>53</v>
      </c>
      <c r="B67" s="56">
        <f>+B45*100/B7</f>
        <v>25.390660781770464</v>
      </c>
      <c r="C67" s="56">
        <f t="shared" ref="C67:G67" si="31">+C45*100/C7</f>
        <v>25.390660781770464</v>
      </c>
      <c r="D67" s="56">
        <f t="shared" si="31"/>
        <v>25.390660781770464</v>
      </c>
      <c r="E67" s="56">
        <f t="shared" si="31"/>
        <v>24.253322910897293</v>
      </c>
      <c r="F67" s="56">
        <f t="shared" si="31"/>
        <v>24.256227208490174</v>
      </c>
      <c r="G67" s="56">
        <f t="shared" si="31"/>
        <v>-10.341731044615456</v>
      </c>
      <c r="H67" s="56">
        <f t="shared" ref="H67" si="32">+H35*100/(+H15+H20+H21+H22+H26+H31+H34)</f>
        <v>156.80833278428983</v>
      </c>
      <c r="I67" s="56">
        <v>26.151628125575584</v>
      </c>
    </row>
    <row r="68" spans="1:9" ht="24" customHeight="1" thickBot="1" x14ac:dyDescent="0.3">
      <c r="A68" s="23" t="s">
        <v>54</v>
      </c>
      <c r="B68" s="20"/>
      <c r="C68" s="20"/>
      <c r="D68" s="20"/>
      <c r="E68" s="19"/>
      <c r="F68" s="19"/>
      <c r="G68" s="19"/>
      <c r="H68" s="19"/>
      <c r="I68" s="19"/>
    </row>
    <row r="69" spans="1:9" x14ac:dyDescent="0.25">
      <c r="A69" s="26" t="s">
        <v>55</v>
      </c>
      <c r="B69" s="27"/>
      <c r="C69" s="27"/>
      <c r="D69" s="27"/>
      <c r="E69" s="41"/>
      <c r="F69" s="41"/>
      <c r="G69" s="41"/>
      <c r="H69" s="41"/>
      <c r="I69" s="52"/>
    </row>
    <row r="70" spans="1:9" ht="14.25" thickBot="1" x14ac:dyDescent="0.3">
      <c r="A70" s="28" t="s">
        <v>56</v>
      </c>
      <c r="B70" s="29"/>
      <c r="C70" s="29"/>
      <c r="D70" s="29"/>
      <c r="E70" s="42"/>
      <c r="F70" s="42"/>
      <c r="G70" s="42"/>
      <c r="H70" s="42"/>
      <c r="I70" s="53"/>
    </row>
    <row r="72" spans="1:9" ht="14.25" x14ac:dyDescent="0.25">
      <c r="A72" s="3" t="s">
        <v>75</v>
      </c>
    </row>
  </sheetData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2025-03-26T08:40:23Z</dcterms:modified>
</cp:coreProperties>
</file>