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490" windowHeight="7755" tabRatio="899"/>
  </bookViews>
  <sheets>
    <sheet name="AMPOP" sheetId="5" r:id="rId1"/>
    <sheet name="AMPOP POAK" sheetId="26" r:id="rId2"/>
    <sheet name="N 4_hodvacayin" sheetId="4" r:id="rId3"/>
    <sheet name="N 5_Gorcarnakan" sheetId="3" r:id="rId4"/>
    <sheet name="N 7_ekamut" sheetId="8" r:id="rId5"/>
    <sheet name="N 8_taracq" sheetId="9" r:id="rId6"/>
    <sheet name="N10-1" sheetId="10" r:id="rId7"/>
    <sheet name="N 10-2" sheetId="14" r:id="rId8"/>
    <sheet name="N 9-1" sheetId="15" r:id="rId9"/>
    <sheet name="9-2" sheetId="16" r:id="rId10"/>
    <sheet name="11-1" sheetId="17" r:id="rId11"/>
    <sheet name="11-2" sheetId="18" r:id="rId12"/>
    <sheet name="BNaparat" sheetId="19" r:id="rId13"/>
    <sheet name="Cig" sheetId="20" r:id="rId14"/>
    <sheet name="Antarkomite" sheetId="28" r:id="rId15"/>
    <sheet name="Havelvac 3 mas 2" sheetId="22" r:id="rId16"/>
    <sheet name="Havelvac 3 mas 4 ՄԺԾԾ" sheetId="23" r:id="rId17"/>
    <sheet name="Հավելված 3 Մաս 3" sheetId="24" r:id="rId18"/>
    <sheet name="Աղյուսակ Ա. (կատարողի բացվա" sheetId="25" r:id="rId19"/>
  </sheets>
  <externalReferences>
    <externalReference r:id="rId20"/>
    <externalReference r:id="rId21"/>
    <externalReference r:id="rId22"/>
    <externalReference r:id="rId23"/>
    <externalReference r:id="rId24"/>
  </externalReferences>
  <definedNames>
    <definedName name="_ftn1" localSheetId="17">'Հավելված 3 Մաս 3'!#REF!</definedName>
    <definedName name="_ftn10" localSheetId="17">'Հավելված 3 Մաս 3'!#REF!</definedName>
    <definedName name="_ftn11" localSheetId="17">'Հավելված 3 Մաս 3'!#REF!</definedName>
    <definedName name="_ftn12" localSheetId="17">'Հավելված 3 Մաս 3'!#REF!</definedName>
    <definedName name="_ftn13" localSheetId="17">'Հավելված 3 Մաս 3'!#REF!</definedName>
    <definedName name="_ftn14" localSheetId="17">'Հավելված 3 Մաս 3'!#REF!</definedName>
    <definedName name="_ftn15" localSheetId="17">'Հավելված 3 Մաս 3'!#REF!</definedName>
    <definedName name="_ftn16" localSheetId="17">'Հավելված 3 Մաս 3'!#REF!</definedName>
    <definedName name="_ftn17" localSheetId="17">'Հավելված 3 Մաս 3'!#REF!</definedName>
    <definedName name="_ftn18" localSheetId="17">'Հավելված 3 Մաս 3'!#REF!</definedName>
    <definedName name="_ftn19" localSheetId="17">'Հավելված 3 Մաս 3'!#REF!</definedName>
    <definedName name="_ftn2" localSheetId="15">'Havelvac 3 mas 2'!$B$14</definedName>
    <definedName name="_ftn2" localSheetId="17">'Հավելված 3 Մաս 3'!#REF!</definedName>
    <definedName name="_ftn20" localSheetId="17">'Հավելված 3 Մաս 3'!$B$22</definedName>
    <definedName name="_ftn21" localSheetId="17">'Հավելված 3 Մաս 3'!#REF!</definedName>
    <definedName name="_ftn22" localSheetId="17">'Հավելված 3 Մաս 3'!#REF!</definedName>
    <definedName name="_ftn3" localSheetId="15">'Havelvac 3 mas 2'!$B$15</definedName>
    <definedName name="_ftn3" localSheetId="17">'Հավելված 3 Մաս 3'!#REF!</definedName>
    <definedName name="_ftn4" localSheetId="15">'Havelvac 3 mas 2'!$B$16</definedName>
    <definedName name="_ftn4" localSheetId="17">'Հավելված 3 Մաս 3'!#REF!</definedName>
    <definedName name="_ftn5" localSheetId="15">'Havelvac 3 mas 2'!$B$17</definedName>
    <definedName name="_ftn5" localSheetId="17">'Հավելված 3 Մաս 3'!#REF!</definedName>
    <definedName name="_ftn6" localSheetId="17">'Հավելված 3 Մաս 3'!#REF!</definedName>
    <definedName name="_ftn7" localSheetId="17">'Հավելված 3 Մաս 3'!#REF!</definedName>
    <definedName name="_ftn8" localSheetId="17">'Հավելված 3 Մաս 3'!#REF!</definedName>
    <definedName name="_ftn9" localSheetId="17">'Հավելված 3 Մաս 3'!#REF!</definedName>
    <definedName name="_ftnref1" localSheetId="17">'Հավելված 3 Մաս 3'!#REF!</definedName>
    <definedName name="_ftnref10" localSheetId="17">'Հավելված 3 Մաս 3'!#REF!</definedName>
    <definedName name="_ftnref11" localSheetId="17">'Հավելված 3 Մաս 3'!#REF!</definedName>
    <definedName name="_ftnref12" localSheetId="17">'Հավելված 3 Մաս 3'!$B$6</definedName>
    <definedName name="_ftnref13" localSheetId="17">'Հավելված 3 Մաս 3'!#REF!</definedName>
    <definedName name="_ftnref14" localSheetId="17">'Հավելված 3 Մաս 3'!#REF!</definedName>
    <definedName name="_ftnref15" localSheetId="17">'Հավելված 3 Մաս 3'!#REF!</definedName>
    <definedName name="_ftnref16" localSheetId="17">'Հավելված 3 Մաս 3'!#REF!</definedName>
    <definedName name="_ftnref17" localSheetId="17">'Հավելված 3 Մաս 3'!#REF!</definedName>
    <definedName name="_ftnref18" localSheetId="17">'Հավելված 3 Մաս 3'!#REF!</definedName>
    <definedName name="_ftnref19" localSheetId="17">'Հավելված 3 Մաս 3'!#REF!</definedName>
    <definedName name="_ftnref2" localSheetId="15">'Havelvac 3 mas 2'!#REF!</definedName>
    <definedName name="_ftnref2" localSheetId="17">'Հավելված 3 Մաս 3'!#REF!</definedName>
    <definedName name="_ftnref20" localSheetId="17">'Հավելված 3 Մաս 3'!#REF!</definedName>
    <definedName name="_ftnref21" localSheetId="17">'Հավելված 3 Մաս 3'!#REF!</definedName>
    <definedName name="_ftnref22" localSheetId="17">'Հավելված 3 Մաս 3'!#REF!</definedName>
    <definedName name="_ftnref3" localSheetId="15">'Havelvac 3 mas 2'!$D$55</definedName>
    <definedName name="_ftnref3" localSheetId="17">'Հավելված 3 Մաս 3'!#REF!</definedName>
    <definedName name="_ftnref4" localSheetId="15">'Havelvac 3 mas 2'!$C$56</definedName>
    <definedName name="_ftnref4" localSheetId="17">'Հավելված 3 Մաս 3'!#REF!</definedName>
    <definedName name="_ftnref5" localSheetId="15">'Havelvac 3 mas 2'!$D$60</definedName>
    <definedName name="_ftnref5" localSheetId="17">'Հավելված 3 Մաս 3'!#REF!</definedName>
    <definedName name="_ftnref6" localSheetId="17">'Հավելված 3 Մաս 3'!#REF!</definedName>
    <definedName name="_ftnref7" localSheetId="17">'Հավելված 3 Մաս 3'!#REF!</definedName>
    <definedName name="_ftnref8" localSheetId="17">'Հավելված 3 Մաս 3'!#REF!</definedName>
    <definedName name="_ftnref9" localSheetId="17">'Հավելված 3 Մաս 3'!#REF!</definedName>
    <definedName name="_Toc462743052" localSheetId="17">'Հավելված 3 Մաս 3'!#REF!</definedName>
    <definedName name="_Toc501014755" localSheetId="17">'Հավելված 3 Մաս 3'!#REF!</definedName>
    <definedName name="_Toc501014756" localSheetId="17">'Հավելված 3 Մաս 3'!#REF!</definedName>
    <definedName name="_Toc501014757" localSheetId="17">'Հավելված 3 Մաս 3'!#REF!</definedName>
    <definedName name="AgencyCode" localSheetId="15">#REF!</definedName>
    <definedName name="AgencyCode" localSheetId="16">#REF!</definedName>
    <definedName name="AgencyCode" localSheetId="18">#REF!</definedName>
    <definedName name="AgencyCode" localSheetId="17">#REF!</definedName>
    <definedName name="AgencyName" localSheetId="15">#REF!</definedName>
    <definedName name="AgencyName" localSheetId="16">#REF!</definedName>
    <definedName name="AgencyName" localSheetId="18">#REF!</definedName>
    <definedName name="AgencyName" localSheetId="17">#REF!</definedName>
    <definedName name="Functional1" localSheetId="15">#REF!</definedName>
    <definedName name="Functional1" localSheetId="16">#REF!</definedName>
    <definedName name="Functional1" localSheetId="18">#REF!</definedName>
    <definedName name="Functional1" localSheetId="17">#REF!</definedName>
    <definedName name="PANature" localSheetId="15">#REF!</definedName>
    <definedName name="PANature" localSheetId="16">#REF!</definedName>
    <definedName name="PANature" localSheetId="18">#REF!</definedName>
    <definedName name="PANature" localSheetId="17">#REF!</definedName>
    <definedName name="PAType" localSheetId="15">#REF!</definedName>
    <definedName name="PAType" localSheetId="16">#REF!</definedName>
    <definedName name="PAType" localSheetId="18">#REF!</definedName>
    <definedName name="PAType" localSheetId="17">#REF!</definedName>
    <definedName name="Performance2" localSheetId="15">#REF!</definedName>
    <definedName name="Performance2" localSheetId="16">#REF!</definedName>
    <definedName name="Performance2" localSheetId="18">#REF!</definedName>
    <definedName name="Performance2" localSheetId="17">#REF!</definedName>
    <definedName name="PerformanceType" localSheetId="15">#REF!</definedName>
    <definedName name="PerformanceType" localSheetId="16">#REF!</definedName>
    <definedName name="PerformanceType" localSheetId="18">#REF!</definedName>
    <definedName name="PerformanceType" localSheetId="17">#REF!</definedName>
    <definedName name="_xlnm.Print_Area" localSheetId="0">AMPOP!$A$2:$Q$66</definedName>
    <definedName name="_xlnm.Print_Area" localSheetId="1">'AMPOP POAK'!$A$2:$Q$67</definedName>
    <definedName name="_xlnm.Print_Area" localSheetId="14">Antarkomite!$A$1:$L$90</definedName>
    <definedName name="_xlnm.Print_Titles" localSheetId="0">AMPOP!$4:$5</definedName>
    <definedName name="_xlnm.Print_Titles" localSheetId="1">'AMPOP POAK'!$4:$6</definedName>
    <definedName name="_xlnm.Print_Titles" localSheetId="14">Antarkomite!$6:$8</definedName>
  </definedNames>
  <calcPr calcId="145621"/>
</workbook>
</file>

<file path=xl/calcChain.xml><?xml version="1.0" encoding="utf-8"?>
<calcChain xmlns="http://schemas.openxmlformats.org/spreadsheetml/2006/main">
  <c r="J49" i="26" l="1"/>
  <c r="I49" i="26"/>
  <c r="H49" i="26"/>
  <c r="H47" i="26"/>
  <c r="I47" i="26"/>
  <c r="J47" i="26"/>
  <c r="I46" i="26"/>
  <c r="J46" i="26"/>
  <c r="H46" i="26"/>
  <c r="H45" i="26" s="1"/>
  <c r="H37" i="26"/>
  <c r="I37" i="26"/>
  <c r="J37" i="26"/>
  <c r="H38" i="26"/>
  <c r="I38" i="26"/>
  <c r="J38" i="26"/>
  <c r="H39" i="26"/>
  <c r="I39" i="26"/>
  <c r="J39" i="26"/>
  <c r="H40" i="26"/>
  <c r="I40" i="26"/>
  <c r="J40" i="26"/>
  <c r="H41" i="26"/>
  <c r="I41" i="26"/>
  <c r="J41" i="26"/>
  <c r="H42" i="26"/>
  <c r="I42" i="26"/>
  <c r="J42" i="26"/>
  <c r="H43" i="26"/>
  <c r="I43" i="26"/>
  <c r="J43" i="26"/>
  <c r="H44" i="26"/>
  <c r="I44" i="26"/>
  <c r="J44" i="26"/>
  <c r="I36" i="26"/>
  <c r="J36" i="26"/>
  <c r="H36" i="26"/>
  <c r="H23" i="26"/>
  <c r="I23" i="26"/>
  <c r="J23" i="26"/>
  <c r="H24" i="26"/>
  <c r="I24" i="26"/>
  <c r="J24" i="26"/>
  <c r="H25" i="26"/>
  <c r="I25" i="26"/>
  <c r="J25" i="26"/>
  <c r="H26" i="26"/>
  <c r="I26" i="26"/>
  <c r="J26" i="26"/>
  <c r="H27" i="26"/>
  <c r="I27" i="26"/>
  <c r="J27" i="26"/>
  <c r="H28" i="26"/>
  <c r="I28" i="26"/>
  <c r="J28" i="26"/>
  <c r="H29" i="26"/>
  <c r="I29" i="26"/>
  <c r="J29" i="26"/>
  <c r="H30" i="26"/>
  <c r="I30" i="26"/>
  <c r="J30" i="26"/>
  <c r="H31" i="26"/>
  <c r="I31" i="26"/>
  <c r="J31" i="26"/>
  <c r="H32" i="26"/>
  <c r="I32" i="26"/>
  <c r="J32" i="26"/>
  <c r="H33" i="26"/>
  <c r="I33" i="26"/>
  <c r="J33" i="26"/>
  <c r="H34" i="26"/>
  <c r="I34" i="26"/>
  <c r="J34" i="26"/>
  <c r="I22" i="26"/>
  <c r="J22" i="26"/>
  <c r="H22" i="26"/>
  <c r="I20" i="26"/>
  <c r="J20" i="26"/>
  <c r="H20" i="26"/>
  <c r="H17" i="26"/>
  <c r="I17" i="26"/>
  <c r="J17" i="26"/>
  <c r="H18" i="26"/>
  <c r="I18" i="26"/>
  <c r="J18" i="26"/>
  <c r="I16" i="26"/>
  <c r="J16" i="26"/>
  <c r="H16" i="26"/>
  <c r="H14" i="26"/>
  <c r="I14" i="26"/>
  <c r="J14" i="26"/>
  <c r="I13" i="26"/>
  <c r="J13" i="26"/>
  <c r="H13" i="26"/>
  <c r="J45" i="26" l="1"/>
  <c r="I45" i="26"/>
  <c r="R17" i="18"/>
  <c r="Q17" i="18"/>
  <c r="R14" i="18"/>
  <c r="Q14" i="18"/>
  <c r="R12" i="18"/>
  <c r="Q12" i="18"/>
  <c r="R10" i="18"/>
  <c r="Q10" i="18"/>
  <c r="O10" i="18" l="1"/>
  <c r="N10" i="18"/>
  <c r="O14" i="18"/>
  <c r="N14" i="18"/>
  <c r="O17" i="18"/>
  <c r="N17" i="18"/>
  <c r="N9" i="18"/>
  <c r="N12" i="18"/>
  <c r="O12" i="18"/>
  <c r="H51" i="5"/>
  <c r="O9" i="18" l="1"/>
  <c r="Q9" i="18"/>
  <c r="R9" i="18"/>
  <c r="I88" i="19"/>
  <c r="H88" i="19"/>
  <c r="I87" i="19"/>
  <c r="H87" i="19"/>
  <c r="G86" i="19"/>
  <c r="K86" i="19" s="1"/>
  <c r="L86" i="19" s="1"/>
  <c r="F86" i="19"/>
  <c r="G85" i="19"/>
  <c r="H85" i="19" s="1"/>
  <c r="F85" i="19"/>
  <c r="I84" i="19"/>
  <c r="G84" i="19"/>
  <c r="K84" i="19" s="1"/>
  <c r="F84" i="19"/>
  <c r="G82" i="19"/>
  <c r="H82" i="19" s="1"/>
  <c r="F82" i="19"/>
  <c r="E82" i="19"/>
  <c r="I80" i="19"/>
  <c r="H80" i="19"/>
  <c r="I79" i="19"/>
  <c r="H79" i="19"/>
  <c r="I78" i="19"/>
  <c r="H78" i="19"/>
  <c r="I77" i="19"/>
  <c r="H77" i="19"/>
  <c r="I76" i="19"/>
  <c r="H76" i="19"/>
  <c r="I75" i="19"/>
  <c r="H75" i="19"/>
  <c r="I74" i="19"/>
  <c r="H74" i="19"/>
  <c r="L73" i="19"/>
  <c r="K73" i="19"/>
  <c r="G73" i="19"/>
  <c r="I73" i="19" s="1"/>
  <c r="F73" i="19"/>
  <c r="H73" i="19" s="1"/>
  <c r="E73" i="19"/>
  <c r="I72" i="19"/>
  <c r="H72" i="19"/>
  <c r="I71" i="19"/>
  <c r="H71" i="19"/>
  <c r="I70" i="19"/>
  <c r="H70" i="19"/>
  <c r="I69" i="19"/>
  <c r="H69" i="19"/>
  <c r="I67" i="19"/>
  <c r="H67" i="19"/>
  <c r="I66" i="19"/>
  <c r="H66" i="19"/>
  <c r="I65" i="19"/>
  <c r="H65" i="19"/>
  <c r="I64" i="19"/>
  <c r="H64" i="19"/>
  <c r="I63" i="19"/>
  <c r="G63" i="19"/>
  <c r="H63" i="19" s="1"/>
  <c r="F63" i="19"/>
  <c r="G62" i="19"/>
  <c r="K62" i="19" s="1"/>
  <c r="L62" i="19" s="1"/>
  <c r="F62" i="19"/>
  <c r="I61" i="19"/>
  <c r="H61" i="19"/>
  <c r="G60" i="19"/>
  <c r="K60" i="19" s="1"/>
  <c r="L60" i="19" s="1"/>
  <c r="F60" i="19"/>
  <c r="I59" i="19"/>
  <c r="H59" i="19"/>
  <c r="I58" i="19"/>
  <c r="H58" i="19"/>
  <c r="G57" i="19"/>
  <c r="I57" i="19" s="1"/>
  <c r="F57" i="19"/>
  <c r="I56" i="19"/>
  <c r="H56" i="19"/>
  <c r="L55" i="19"/>
  <c r="K55" i="19"/>
  <c r="G55" i="19"/>
  <c r="I55" i="19" s="1"/>
  <c r="F55" i="19"/>
  <c r="E55" i="19"/>
  <c r="K54" i="19"/>
  <c r="K51" i="19" s="1"/>
  <c r="G54" i="19"/>
  <c r="I54" i="19" s="1"/>
  <c r="F54" i="19"/>
  <c r="H54" i="19" s="1"/>
  <c r="K53" i="19"/>
  <c r="L53" i="19" s="1"/>
  <c r="I53" i="19"/>
  <c r="H53" i="19"/>
  <c r="G53" i="19"/>
  <c r="F53" i="19"/>
  <c r="I52" i="19"/>
  <c r="H52" i="19"/>
  <c r="E51" i="19"/>
  <c r="I50" i="19"/>
  <c r="H50" i="19"/>
  <c r="G49" i="19"/>
  <c r="I49" i="19" s="1"/>
  <c r="F49" i="19"/>
  <c r="G48" i="19"/>
  <c r="I48" i="19" s="1"/>
  <c r="F48" i="19"/>
  <c r="G47" i="19"/>
  <c r="I47" i="19" s="1"/>
  <c r="F47" i="19"/>
  <c r="I46" i="19"/>
  <c r="H46" i="19"/>
  <c r="I45" i="19"/>
  <c r="G45" i="19"/>
  <c r="H45" i="19" s="1"/>
  <c r="F45" i="19"/>
  <c r="I44" i="19"/>
  <c r="G44" i="19"/>
  <c r="H44" i="19" s="1"/>
  <c r="F44" i="19"/>
  <c r="I43" i="19"/>
  <c r="H43" i="19"/>
  <c r="G42" i="19"/>
  <c r="I42" i="19" s="1"/>
  <c r="F42" i="19"/>
  <c r="I41" i="19"/>
  <c r="H41" i="19"/>
  <c r="I40" i="19"/>
  <c r="H40" i="19"/>
  <c r="I39" i="19"/>
  <c r="G39" i="19"/>
  <c r="H39" i="19" s="1"/>
  <c r="F39" i="19"/>
  <c r="I38" i="19"/>
  <c r="H38" i="19"/>
  <c r="G37" i="19"/>
  <c r="H37" i="19" s="1"/>
  <c r="F37" i="19"/>
  <c r="E37" i="19"/>
  <c r="I37" i="19" s="1"/>
  <c r="I36" i="19"/>
  <c r="H36" i="19"/>
  <c r="I35" i="19"/>
  <c r="H35" i="19"/>
  <c r="G35" i="19"/>
  <c r="F35" i="19"/>
  <c r="I34" i="19"/>
  <c r="H34" i="19"/>
  <c r="G34" i="19"/>
  <c r="F34" i="19"/>
  <c r="I33" i="19"/>
  <c r="H33" i="19"/>
  <c r="G33" i="19"/>
  <c r="F33" i="19"/>
  <c r="I32" i="19"/>
  <c r="H32" i="19"/>
  <c r="G32" i="19"/>
  <c r="F32" i="19"/>
  <c r="I31" i="19"/>
  <c r="H31" i="19"/>
  <c r="G31" i="19"/>
  <c r="F31" i="19"/>
  <c r="I30" i="19"/>
  <c r="H30" i="19"/>
  <c r="L29" i="19"/>
  <c r="K29" i="19"/>
  <c r="H29" i="19"/>
  <c r="G29" i="19"/>
  <c r="F29" i="19"/>
  <c r="E29" i="19"/>
  <c r="I29" i="19" s="1"/>
  <c r="I28" i="19"/>
  <c r="H28" i="19"/>
  <c r="I27" i="19"/>
  <c r="H27" i="19"/>
  <c r="I26" i="19"/>
  <c r="G26" i="19"/>
  <c r="H26" i="19" s="1"/>
  <c r="F26" i="19"/>
  <c r="I25" i="19"/>
  <c r="H25" i="19"/>
  <c r="L24" i="19"/>
  <c r="K24" i="19"/>
  <c r="G24" i="19"/>
  <c r="H24" i="19" s="1"/>
  <c r="F24" i="19"/>
  <c r="E24" i="19"/>
  <c r="I24" i="19" s="1"/>
  <c r="I23" i="19"/>
  <c r="H23" i="19"/>
  <c r="L22" i="19"/>
  <c r="K22" i="19"/>
  <c r="K18" i="19" s="1"/>
  <c r="H22" i="19"/>
  <c r="G22" i="19"/>
  <c r="I22" i="19" s="1"/>
  <c r="I21" i="19"/>
  <c r="H21" i="19"/>
  <c r="L20" i="19"/>
  <c r="K20" i="19"/>
  <c r="I20" i="19"/>
  <c r="G20" i="19"/>
  <c r="H20" i="19" s="1"/>
  <c r="F20" i="19"/>
  <c r="I19" i="19"/>
  <c r="H19" i="19"/>
  <c r="L18" i="19"/>
  <c r="G18" i="19"/>
  <c r="H18" i="19" s="1"/>
  <c r="F18" i="19"/>
  <c r="E18" i="19"/>
  <c r="E16" i="19" s="1"/>
  <c r="E14" i="19" s="1"/>
  <c r="I17" i="19"/>
  <c r="H17" i="19"/>
  <c r="I13" i="19"/>
  <c r="H13" i="19"/>
  <c r="I12" i="19"/>
  <c r="H12" i="19"/>
  <c r="I11" i="19"/>
  <c r="H11" i="19"/>
  <c r="I10" i="19"/>
  <c r="H10" i="19"/>
  <c r="J35" i="5"/>
  <c r="I35" i="5"/>
  <c r="H35" i="5"/>
  <c r="L51" i="19" l="1"/>
  <c r="K82" i="19"/>
  <c r="L84" i="19"/>
  <c r="L82" i="19" s="1"/>
  <c r="I18" i="19"/>
  <c r="I82" i="19"/>
  <c r="I85" i="19"/>
  <c r="G16" i="19"/>
  <c r="K39" i="19"/>
  <c r="H42" i="19"/>
  <c r="H47" i="19"/>
  <c r="H48" i="19"/>
  <c r="H49" i="19"/>
  <c r="L54" i="19"/>
  <c r="H55" i="19"/>
  <c r="H57" i="19"/>
  <c r="H60" i="19"/>
  <c r="H62" i="19"/>
  <c r="K63" i="19"/>
  <c r="L63" i="19" s="1"/>
  <c r="H84" i="19"/>
  <c r="K85" i="19"/>
  <c r="L85" i="19" s="1"/>
  <c r="H86" i="19"/>
  <c r="F51" i="19"/>
  <c r="F16" i="19" s="1"/>
  <c r="F14" i="19" s="1"/>
  <c r="I60" i="19"/>
  <c r="I62" i="19"/>
  <c r="I86" i="19"/>
  <c r="G51" i="19"/>
  <c r="H10" i="28"/>
  <c r="I10" i="28"/>
  <c r="H11" i="28"/>
  <c r="I11" i="28"/>
  <c r="H12" i="28"/>
  <c r="I12" i="28"/>
  <c r="H13" i="28"/>
  <c r="I13" i="28"/>
  <c r="H17" i="28"/>
  <c r="I17" i="28"/>
  <c r="E18" i="28"/>
  <c r="F18" i="28"/>
  <c r="K18" i="28"/>
  <c r="L18" i="28"/>
  <c r="H19" i="28"/>
  <c r="I19" i="28"/>
  <c r="H20" i="28"/>
  <c r="I20" i="28"/>
  <c r="H21" i="28"/>
  <c r="I21" i="28"/>
  <c r="G22" i="28"/>
  <c r="G18" i="28" s="1"/>
  <c r="H23" i="28"/>
  <c r="I23" i="28"/>
  <c r="E24" i="28"/>
  <c r="F24" i="28"/>
  <c r="H25" i="28"/>
  <c r="I25" i="28"/>
  <c r="G26" i="28"/>
  <c r="G24" i="28" s="1"/>
  <c r="I26" i="28"/>
  <c r="K26" i="28"/>
  <c r="L26" i="28"/>
  <c r="L24" i="28" s="1"/>
  <c r="L16" i="28" s="1"/>
  <c r="G27" i="28"/>
  <c r="I27" i="28" s="1"/>
  <c r="H27" i="28"/>
  <c r="K27" i="28"/>
  <c r="K24" i="28" s="1"/>
  <c r="L27" i="28"/>
  <c r="H28" i="28"/>
  <c r="I28" i="28"/>
  <c r="E29" i="28"/>
  <c r="E16" i="28" s="1"/>
  <c r="F29" i="28"/>
  <c r="G29" i="28"/>
  <c r="H29" i="28" s="1"/>
  <c r="K29" i="28"/>
  <c r="L29" i="28"/>
  <c r="H30" i="28"/>
  <c r="I30" i="28"/>
  <c r="H31" i="28"/>
  <c r="I31" i="28"/>
  <c r="H32" i="28"/>
  <c r="I32" i="28"/>
  <c r="G33" i="28"/>
  <c r="I33" i="28" s="1"/>
  <c r="H33" i="28"/>
  <c r="K33" i="28"/>
  <c r="L33" i="28"/>
  <c r="H34" i="28"/>
  <c r="I34" i="28"/>
  <c r="H35" i="28"/>
  <c r="I35" i="28"/>
  <c r="H36" i="28"/>
  <c r="I36" i="28"/>
  <c r="E37" i="28"/>
  <c r="K37" i="28"/>
  <c r="L37" i="28"/>
  <c r="H38" i="28"/>
  <c r="I38" i="28"/>
  <c r="F39" i="28"/>
  <c r="F37" i="28" s="1"/>
  <c r="G39" i="28"/>
  <c r="G37" i="28" s="1"/>
  <c r="H40" i="28"/>
  <c r="I40" i="28"/>
  <c r="H41" i="28"/>
  <c r="I41" i="28"/>
  <c r="H42" i="28"/>
  <c r="I42" i="28"/>
  <c r="H43" i="28"/>
  <c r="I43" i="28"/>
  <c r="H44" i="28"/>
  <c r="I44" i="28"/>
  <c r="H45" i="28"/>
  <c r="I45" i="28"/>
  <c r="H46" i="28"/>
  <c r="I46" i="28"/>
  <c r="H47" i="28"/>
  <c r="I47" i="28"/>
  <c r="H48" i="28"/>
  <c r="I48" i="28"/>
  <c r="H49" i="28"/>
  <c r="I49" i="28"/>
  <c r="H50" i="28"/>
  <c r="I50" i="28"/>
  <c r="E51" i="28"/>
  <c r="F51" i="28"/>
  <c r="G51" i="28"/>
  <c r="I51" i="28" s="1"/>
  <c r="H51" i="28"/>
  <c r="K51" i="28"/>
  <c r="L51" i="28"/>
  <c r="H52" i="28"/>
  <c r="I52" i="28"/>
  <c r="H53" i="28"/>
  <c r="I53" i="28"/>
  <c r="H54" i="28"/>
  <c r="I54" i="28"/>
  <c r="E55" i="28"/>
  <c r="F55" i="28"/>
  <c r="G55" i="28"/>
  <c r="H55" i="28" s="1"/>
  <c r="K55" i="28"/>
  <c r="L55" i="28"/>
  <c r="H56" i="28"/>
  <c r="I56" i="28"/>
  <c r="H57" i="28"/>
  <c r="I57" i="28"/>
  <c r="H58" i="28"/>
  <c r="I58" i="28"/>
  <c r="H59" i="28"/>
  <c r="I59" i="28"/>
  <c r="H60" i="28"/>
  <c r="I60" i="28"/>
  <c r="H61" i="28"/>
  <c r="I61" i="28"/>
  <c r="H62" i="28"/>
  <c r="I62" i="28"/>
  <c r="H63" i="28"/>
  <c r="I63" i="28"/>
  <c r="H64" i="28"/>
  <c r="I64" i="28"/>
  <c r="H65" i="28"/>
  <c r="I65" i="28"/>
  <c r="H66" i="28"/>
  <c r="I66" i="28"/>
  <c r="H67" i="28"/>
  <c r="I67" i="28"/>
  <c r="H69" i="28"/>
  <c r="I69" i="28"/>
  <c r="H70" i="28"/>
  <c r="I70" i="28"/>
  <c r="H71" i="28"/>
  <c r="I71" i="28"/>
  <c r="H72" i="28"/>
  <c r="I72" i="28"/>
  <c r="E73" i="28"/>
  <c r="F73" i="28"/>
  <c r="G73" i="28"/>
  <c r="I73" i="28" s="1"/>
  <c r="H73" i="28"/>
  <c r="K73" i="28"/>
  <c r="L73" i="28"/>
  <c r="H74" i="28"/>
  <c r="I74" i="28"/>
  <c r="H75" i="28"/>
  <c r="I75" i="28"/>
  <c r="H76" i="28"/>
  <c r="I76" i="28"/>
  <c r="H77" i="28"/>
  <c r="I77" i="28"/>
  <c r="H78" i="28"/>
  <c r="I78" i="28"/>
  <c r="H79" i="28"/>
  <c r="I79" i="28"/>
  <c r="H80" i="28"/>
  <c r="I80" i="28"/>
  <c r="E82" i="28"/>
  <c r="F82" i="28"/>
  <c r="G82" i="28"/>
  <c r="H82" i="28" s="1"/>
  <c r="K82" i="28"/>
  <c r="L82" i="28"/>
  <c r="H84" i="28"/>
  <c r="I84" i="28"/>
  <c r="H85" i="28"/>
  <c r="I85" i="28"/>
  <c r="H86" i="28"/>
  <c r="I86" i="28"/>
  <c r="H87" i="28"/>
  <c r="I87" i="28"/>
  <c r="H88" i="28"/>
  <c r="I88" i="28"/>
  <c r="H89" i="28"/>
  <c r="I89" i="28"/>
  <c r="I16" i="19" l="1"/>
  <c r="H16" i="19"/>
  <c r="G14" i="19"/>
  <c r="I51" i="19"/>
  <c r="H51" i="19"/>
  <c r="L39" i="19"/>
  <c r="L37" i="19" s="1"/>
  <c r="L16" i="19" s="1"/>
  <c r="L14" i="19" s="1"/>
  <c r="K37" i="19"/>
  <c r="K16" i="19" s="1"/>
  <c r="K14" i="19" s="1"/>
  <c r="E14" i="28"/>
  <c r="H24" i="28"/>
  <c r="I24" i="28"/>
  <c r="F16" i="28"/>
  <c r="L14" i="28"/>
  <c r="H37" i="28"/>
  <c r="I37" i="28"/>
  <c r="I18" i="28"/>
  <c r="G16" i="28"/>
  <c r="H18" i="28"/>
  <c r="K16" i="28"/>
  <c r="I82" i="28"/>
  <c r="I55" i="28"/>
  <c r="I39" i="28"/>
  <c r="I29" i="28"/>
  <c r="I22" i="28"/>
  <c r="H39" i="28"/>
  <c r="H22" i="28"/>
  <c r="H26" i="28"/>
  <c r="J16" i="5"/>
  <c r="I16" i="5"/>
  <c r="H16" i="5"/>
  <c r="J17" i="5"/>
  <c r="J15" i="5"/>
  <c r="I17" i="5"/>
  <c r="I15" i="5"/>
  <c r="H15" i="5"/>
  <c r="H17" i="5"/>
  <c r="H14" i="19" l="1"/>
  <c r="I14" i="19"/>
  <c r="K14" i="28"/>
  <c r="G14" i="28"/>
  <c r="H16" i="28"/>
  <c r="I16" i="28"/>
  <c r="F14" i="28"/>
  <c r="J48" i="26"/>
  <c r="I48" i="26"/>
  <c r="H48" i="26"/>
  <c r="G48" i="26"/>
  <c r="F48" i="26"/>
  <c r="G47" i="26"/>
  <c r="G46" i="26"/>
  <c r="F45" i="26"/>
  <c r="E45" i="26"/>
  <c r="G44" i="26"/>
  <c r="G43" i="26"/>
  <c r="G42" i="26"/>
  <c r="G41" i="26"/>
  <c r="G40" i="26"/>
  <c r="G39" i="26"/>
  <c r="G38" i="26"/>
  <c r="G37" i="26"/>
  <c r="G36" i="26"/>
  <c r="J35" i="26"/>
  <c r="I35" i="26"/>
  <c r="H35" i="26"/>
  <c r="F35" i="26"/>
  <c r="E35" i="26"/>
  <c r="G34" i="26"/>
  <c r="G33" i="26"/>
  <c r="G32" i="26"/>
  <c r="G31" i="26"/>
  <c r="G30" i="26"/>
  <c r="G29" i="26"/>
  <c r="G28" i="26"/>
  <c r="G27" i="26"/>
  <c r="G26" i="26"/>
  <c r="G25" i="26"/>
  <c r="G24" i="26"/>
  <c r="G23" i="26"/>
  <c r="H11" i="26"/>
  <c r="G22" i="26"/>
  <c r="J21" i="26"/>
  <c r="I21" i="26"/>
  <c r="F21" i="26"/>
  <c r="E21" i="26"/>
  <c r="J19" i="26"/>
  <c r="I19" i="26"/>
  <c r="H19" i="26"/>
  <c r="G19" i="26"/>
  <c r="F19" i="26"/>
  <c r="E19" i="26"/>
  <c r="G18" i="26"/>
  <c r="G17" i="26"/>
  <c r="G16" i="26"/>
  <c r="J15" i="26"/>
  <c r="I15" i="26"/>
  <c r="H15" i="26"/>
  <c r="G15" i="26"/>
  <c r="F15" i="26"/>
  <c r="E15" i="26"/>
  <c r="G14" i="26"/>
  <c r="G13" i="26"/>
  <c r="J12" i="26"/>
  <c r="I12" i="26"/>
  <c r="H12" i="26"/>
  <c r="G12" i="26"/>
  <c r="F12" i="26"/>
  <c r="E12" i="26"/>
  <c r="J11" i="26"/>
  <c r="I11" i="26"/>
  <c r="F11" i="26"/>
  <c r="E11" i="26"/>
  <c r="F10" i="26"/>
  <c r="J9" i="26"/>
  <c r="I9" i="26"/>
  <c r="H9" i="26"/>
  <c r="G9" i="26"/>
  <c r="F9" i="26"/>
  <c r="E9" i="26"/>
  <c r="J8" i="26"/>
  <c r="I8" i="26"/>
  <c r="H8" i="26"/>
  <c r="F8" i="26"/>
  <c r="E8" i="26"/>
  <c r="F7" i="26"/>
  <c r="E7" i="26"/>
  <c r="E10" i="26" s="1"/>
  <c r="J7" i="26" l="1"/>
  <c r="J10" i="26" s="1"/>
  <c r="I7" i="26"/>
  <c r="I10" i="26" s="1"/>
  <c r="I14" i="28"/>
  <c r="H14" i="28"/>
  <c r="G21" i="26"/>
  <c r="G35" i="26"/>
  <c r="G11" i="26"/>
  <c r="H21" i="26"/>
  <c r="G45" i="26"/>
  <c r="H7" i="26"/>
  <c r="H10" i="26" s="1"/>
  <c r="G8" i="26"/>
  <c r="G7" i="26" l="1"/>
  <c r="G10" i="26" s="1"/>
  <c r="F12" i="25" l="1"/>
  <c r="F13" i="25"/>
  <c r="F15" i="25"/>
  <c r="F18" i="25"/>
  <c r="F17" i="25" s="1"/>
  <c r="F21" i="25"/>
  <c r="F20" i="25" s="1"/>
  <c r="F23" i="25"/>
  <c r="F25" i="25"/>
  <c r="F28" i="25"/>
  <c r="F27" i="25" s="1"/>
  <c r="F31" i="25"/>
  <c r="F30" i="25" s="1"/>
  <c r="F33" i="25"/>
  <c r="F35" i="25"/>
  <c r="F37" i="25"/>
  <c r="F39" i="25"/>
  <c r="F41" i="25"/>
  <c r="F43" i="25"/>
  <c r="F45" i="25"/>
  <c r="F47" i="25"/>
  <c r="F49" i="25"/>
  <c r="F51" i="25"/>
  <c r="F53" i="25"/>
  <c r="F55" i="25"/>
  <c r="F58" i="25"/>
  <c r="F57" i="25" s="1"/>
  <c r="F60" i="25"/>
  <c r="F62" i="25"/>
  <c r="F64" i="25"/>
  <c r="F66" i="25"/>
  <c r="F68" i="25"/>
  <c r="F70" i="25"/>
  <c r="F72" i="25"/>
  <c r="F75" i="25"/>
  <c r="F74" i="25" s="1"/>
  <c r="F77" i="25"/>
  <c r="F25" i="23"/>
  <c r="G25" i="23"/>
  <c r="H20" i="22" s="1"/>
  <c r="H12" i="22" s="1"/>
  <c r="H25" i="23"/>
  <c r="F52" i="23"/>
  <c r="G52" i="23"/>
  <c r="H26" i="22" s="1"/>
  <c r="H52" i="23"/>
  <c r="I26" i="22" s="1"/>
  <c r="F71" i="23"/>
  <c r="G71" i="23"/>
  <c r="H71" i="23"/>
  <c r="I71" i="23"/>
  <c r="J71" i="23"/>
  <c r="K71" i="23"/>
  <c r="F76" i="23"/>
  <c r="G76" i="23"/>
  <c r="H76" i="23"/>
  <c r="I76" i="23"/>
  <c r="J76" i="23"/>
  <c r="K76" i="23"/>
  <c r="F82" i="23"/>
  <c r="G82" i="23"/>
  <c r="H82" i="23"/>
  <c r="I41" i="22" s="1"/>
  <c r="I33" i="22" s="1"/>
  <c r="F99" i="23"/>
  <c r="G56" i="22" s="1"/>
  <c r="G48" i="22" s="1"/>
  <c r="G99" i="23"/>
  <c r="H99" i="23"/>
  <c r="I56" i="22" s="1"/>
  <c r="F112" i="23"/>
  <c r="G112" i="23"/>
  <c r="H112" i="23"/>
  <c r="F128" i="23"/>
  <c r="G128" i="23"/>
  <c r="H128" i="23"/>
  <c r="I69" i="22" s="1"/>
  <c r="E174" i="23"/>
  <c r="I175" i="23"/>
  <c r="H175" i="23" s="1"/>
  <c r="G175" i="23" s="1"/>
  <c r="F175" i="23" s="1"/>
  <c r="E175" i="23" s="1"/>
  <c r="F176" i="23"/>
  <c r="G176" i="23"/>
  <c r="H176" i="23"/>
  <c r="F199" i="23"/>
  <c r="G199" i="23"/>
  <c r="H199" i="23"/>
  <c r="I99" i="22" s="1"/>
  <c r="F214" i="23"/>
  <c r="G214" i="23"/>
  <c r="H214" i="23"/>
  <c r="I105" i="22" s="1"/>
  <c r="G228" i="23"/>
  <c r="H228" i="23"/>
  <c r="F249" i="23"/>
  <c r="G249" i="23"/>
  <c r="H249" i="23"/>
  <c r="I117" i="22" s="1"/>
  <c r="F268" i="23"/>
  <c r="G268" i="23"/>
  <c r="H268" i="23"/>
  <c r="I123" i="22" s="1"/>
  <c r="F287" i="23"/>
  <c r="G129" i="22" s="1"/>
  <c r="G287" i="23"/>
  <c r="H287" i="23"/>
  <c r="I129" i="22" s="1"/>
  <c r="F305" i="23"/>
  <c r="G305" i="23"/>
  <c r="H305" i="23"/>
  <c r="F325" i="23"/>
  <c r="G325" i="23"/>
  <c r="H325" i="23"/>
  <c r="I141" i="22" s="1"/>
  <c r="F346" i="23"/>
  <c r="G346" i="23"/>
  <c r="H346" i="23"/>
  <c r="I147" i="22" s="1"/>
  <c r="F366" i="23"/>
  <c r="G153" i="22" s="1"/>
  <c r="G366" i="23"/>
  <c r="H366" i="23"/>
  <c r="I153" i="22" s="1"/>
  <c r="F379" i="23"/>
  <c r="G379" i="23"/>
  <c r="H379" i="23"/>
  <c r="F395" i="23"/>
  <c r="G395" i="23"/>
  <c r="H395" i="23"/>
  <c r="I165" i="22" s="1"/>
  <c r="F414" i="23"/>
  <c r="G414" i="23"/>
  <c r="H414" i="23"/>
  <c r="I172" i="22" s="1"/>
  <c r="F432" i="23"/>
  <c r="G187" i="22" s="1"/>
  <c r="G432" i="23"/>
  <c r="H432" i="23"/>
  <c r="I187" i="22" s="1"/>
  <c r="F447" i="23"/>
  <c r="G447" i="23"/>
  <c r="H447" i="23"/>
  <c r="F461" i="23"/>
  <c r="G461" i="23"/>
  <c r="H461" i="23"/>
  <c r="I199" i="22" s="1"/>
  <c r="F476" i="23"/>
  <c r="G476" i="23"/>
  <c r="H476" i="23"/>
  <c r="I205" i="22" s="1"/>
  <c r="F491" i="23"/>
  <c r="G211" i="22" s="1"/>
  <c r="G491" i="23"/>
  <c r="H491" i="23"/>
  <c r="I211" i="22" s="1"/>
  <c r="F505" i="23"/>
  <c r="G505" i="23"/>
  <c r="H505" i="23"/>
  <c r="F533" i="23"/>
  <c r="G533" i="23"/>
  <c r="H533" i="23"/>
  <c r="I230" i="22" s="1"/>
  <c r="F548" i="23"/>
  <c r="G548" i="23"/>
  <c r="H548" i="23"/>
  <c r="I236" i="22" s="1"/>
  <c r="F568" i="23"/>
  <c r="G251" i="22" s="1"/>
  <c r="G243" i="22" s="1"/>
  <c r="G568" i="23"/>
  <c r="H568" i="23"/>
  <c r="I251" i="22" s="1"/>
  <c r="I243" i="22" s="1"/>
  <c r="F586" i="23"/>
  <c r="G586" i="23"/>
  <c r="G591" i="23" s="1"/>
  <c r="H586" i="23"/>
  <c r="D591" i="23"/>
  <c r="E591" i="23"/>
  <c r="F591" i="23"/>
  <c r="I591" i="23"/>
  <c r="J591" i="23"/>
  <c r="K591" i="23"/>
  <c r="E20" i="22"/>
  <c r="F20" i="22"/>
  <c r="G20" i="22"/>
  <c r="I20" i="22"/>
  <c r="J20" i="22"/>
  <c r="K20" i="22"/>
  <c r="L20" i="22"/>
  <c r="E26" i="22"/>
  <c r="F26" i="22"/>
  <c r="G26" i="22"/>
  <c r="J26" i="22"/>
  <c r="K26" i="22"/>
  <c r="L26" i="22"/>
  <c r="E33" i="22"/>
  <c r="F33" i="22"/>
  <c r="G41" i="22"/>
  <c r="G33" i="22" s="1"/>
  <c r="H41" i="22"/>
  <c r="H33" i="22" s="1"/>
  <c r="J41" i="22"/>
  <c r="J33" i="22" s="1"/>
  <c r="K41" i="22"/>
  <c r="K33" i="22" s="1"/>
  <c r="L41" i="22"/>
  <c r="L33" i="22" s="1"/>
  <c r="E56" i="22"/>
  <c r="F56" i="22"/>
  <c r="H56" i="22"/>
  <c r="J56" i="22"/>
  <c r="K56" i="22"/>
  <c r="L56" i="22"/>
  <c r="E62" i="22"/>
  <c r="F62" i="22"/>
  <c r="G62" i="22"/>
  <c r="H62" i="22"/>
  <c r="I62" i="22"/>
  <c r="J62" i="22"/>
  <c r="K62" i="22"/>
  <c r="L62" i="22"/>
  <c r="E69" i="22"/>
  <c r="F69" i="22"/>
  <c r="G69" i="22"/>
  <c r="H69" i="22"/>
  <c r="J69" i="22"/>
  <c r="K69" i="22"/>
  <c r="L69" i="22"/>
  <c r="E84" i="22"/>
  <c r="E76" i="22" s="1"/>
  <c r="F84" i="22"/>
  <c r="F76" i="22" s="1"/>
  <c r="G84" i="22"/>
  <c r="G76" i="22" s="1"/>
  <c r="H84" i="22"/>
  <c r="H76" i="22" s="1"/>
  <c r="I84" i="22"/>
  <c r="I76" i="22" s="1"/>
  <c r="J84" i="22"/>
  <c r="J76" i="22" s="1"/>
  <c r="K84" i="22"/>
  <c r="K76" i="22" s="1"/>
  <c r="L84" i="22"/>
  <c r="L76" i="22" s="1"/>
  <c r="E99" i="22"/>
  <c r="F99" i="22"/>
  <c r="G99" i="22"/>
  <c r="H99" i="22"/>
  <c r="J99" i="22"/>
  <c r="K99" i="22"/>
  <c r="L99" i="22"/>
  <c r="E105" i="22"/>
  <c r="F105" i="22"/>
  <c r="G105" i="22"/>
  <c r="H105" i="22"/>
  <c r="J105" i="22"/>
  <c r="K105" i="22"/>
  <c r="L105" i="22"/>
  <c r="E111" i="22"/>
  <c r="F111" i="22"/>
  <c r="G111" i="22"/>
  <c r="H111" i="22"/>
  <c r="I111" i="22"/>
  <c r="J111" i="22"/>
  <c r="K111" i="22"/>
  <c r="L111" i="22"/>
  <c r="E117" i="22"/>
  <c r="F117" i="22"/>
  <c r="G117" i="22"/>
  <c r="H117" i="22"/>
  <c r="J117" i="22"/>
  <c r="K117" i="22"/>
  <c r="L117" i="22"/>
  <c r="E123" i="22"/>
  <c r="F123" i="22"/>
  <c r="G123" i="22"/>
  <c r="H123" i="22"/>
  <c r="J123" i="22"/>
  <c r="K123" i="22"/>
  <c r="L123" i="22"/>
  <c r="E129" i="22"/>
  <c r="F129" i="22"/>
  <c r="H129" i="22"/>
  <c r="J129" i="22"/>
  <c r="K129" i="22"/>
  <c r="L129" i="22"/>
  <c r="E135" i="22"/>
  <c r="F135" i="22"/>
  <c r="G135" i="22"/>
  <c r="H135" i="22"/>
  <c r="I135" i="22"/>
  <c r="J135" i="22"/>
  <c r="K135" i="22"/>
  <c r="L135" i="22"/>
  <c r="E141" i="22"/>
  <c r="F141" i="22"/>
  <c r="G141" i="22"/>
  <c r="H141" i="22"/>
  <c r="J141" i="22"/>
  <c r="K141" i="22"/>
  <c r="L141" i="22"/>
  <c r="E147" i="22"/>
  <c r="F147" i="22"/>
  <c r="G147" i="22"/>
  <c r="H147" i="22"/>
  <c r="J147" i="22"/>
  <c r="K147" i="22"/>
  <c r="L147" i="22"/>
  <c r="E153" i="22"/>
  <c r="F153" i="22"/>
  <c r="H153" i="22"/>
  <c r="J153" i="22"/>
  <c r="K153" i="22"/>
  <c r="L153" i="22"/>
  <c r="E159" i="22"/>
  <c r="F159" i="22"/>
  <c r="G159" i="22"/>
  <c r="H159" i="22"/>
  <c r="I159" i="22"/>
  <c r="J159" i="22"/>
  <c r="K159" i="22"/>
  <c r="L159" i="22"/>
  <c r="E165" i="22"/>
  <c r="F165" i="22"/>
  <c r="G165" i="22"/>
  <c r="H165" i="22"/>
  <c r="J165" i="22"/>
  <c r="K165" i="22"/>
  <c r="L165" i="22"/>
  <c r="E172" i="22"/>
  <c r="F172" i="22"/>
  <c r="G172" i="22"/>
  <c r="H172" i="22"/>
  <c r="J172" i="22"/>
  <c r="K172" i="22"/>
  <c r="L172" i="22"/>
  <c r="E187" i="22"/>
  <c r="F187" i="22"/>
  <c r="H187" i="22"/>
  <c r="J187" i="22"/>
  <c r="K187" i="22"/>
  <c r="L187" i="22"/>
  <c r="E193" i="22"/>
  <c r="F193" i="22"/>
  <c r="G193" i="22"/>
  <c r="H193" i="22"/>
  <c r="I193" i="22"/>
  <c r="J193" i="22"/>
  <c r="K193" i="22"/>
  <c r="L193" i="22"/>
  <c r="E199" i="22"/>
  <c r="F199" i="22"/>
  <c r="G199" i="22"/>
  <c r="H199" i="22"/>
  <c r="J199" i="22"/>
  <c r="K199" i="22"/>
  <c r="L199" i="22"/>
  <c r="E205" i="22"/>
  <c r="F205" i="22"/>
  <c r="G205" i="22"/>
  <c r="H205" i="22"/>
  <c r="J205" i="22"/>
  <c r="K205" i="22"/>
  <c r="L205" i="22"/>
  <c r="E211" i="22"/>
  <c r="F211" i="22"/>
  <c r="H211" i="22"/>
  <c r="J211" i="22"/>
  <c r="K211" i="22"/>
  <c r="L211" i="22"/>
  <c r="E218" i="22"/>
  <c r="F218" i="22"/>
  <c r="G218" i="22"/>
  <c r="H218" i="22"/>
  <c r="I218" i="22"/>
  <c r="J218" i="22"/>
  <c r="K218" i="22"/>
  <c r="L218" i="22"/>
  <c r="E224" i="22"/>
  <c r="F224" i="22"/>
  <c r="G224" i="22"/>
  <c r="H224" i="22"/>
  <c r="I224" i="22"/>
  <c r="J224" i="22"/>
  <c r="K224" i="22"/>
  <c r="L224" i="22"/>
  <c r="E230" i="22"/>
  <c r="F230" i="22"/>
  <c r="G230" i="22"/>
  <c r="H230" i="22"/>
  <c r="J230" i="22"/>
  <c r="K230" i="22"/>
  <c r="L230" i="22"/>
  <c r="E236" i="22"/>
  <c r="F236" i="22"/>
  <c r="G236" i="22"/>
  <c r="H236" i="22"/>
  <c r="J236" i="22"/>
  <c r="K236" i="22"/>
  <c r="L236" i="22"/>
  <c r="E251" i="22"/>
  <c r="F251" i="22"/>
  <c r="H251" i="22"/>
  <c r="J251" i="22"/>
  <c r="K251" i="22"/>
  <c r="K243" i="22" s="1"/>
  <c r="L251" i="22"/>
  <c r="E257" i="22"/>
  <c r="F257" i="22"/>
  <c r="G257" i="22"/>
  <c r="H257" i="22"/>
  <c r="I257" i="22"/>
  <c r="J257" i="22"/>
  <c r="K257" i="22"/>
  <c r="L257" i="22"/>
  <c r="F11" i="25" l="1"/>
  <c r="G179" i="22"/>
  <c r="G265" i="22" s="1"/>
  <c r="I91" i="22"/>
  <c r="I179" i="22"/>
  <c r="I265" i="22" s="1"/>
  <c r="I48" i="22"/>
  <c r="H243" i="22"/>
  <c r="L179" i="22"/>
  <c r="L265" i="22" s="1"/>
  <c r="H48" i="22"/>
  <c r="H10" i="22" s="1"/>
  <c r="J243" i="22"/>
  <c r="F243" i="22"/>
  <c r="J179" i="22"/>
  <c r="J265" i="22" s="1"/>
  <c r="F179" i="22"/>
  <c r="F265" i="22" s="1"/>
  <c r="J91" i="22"/>
  <c r="F91" i="22"/>
  <c r="J48" i="22"/>
  <c r="F48" i="22"/>
  <c r="I12" i="22"/>
  <c r="E12" i="22"/>
  <c r="H591" i="23"/>
  <c r="E243" i="22"/>
  <c r="E179" i="22"/>
  <c r="E265" i="22" s="1"/>
  <c r="E91" i="22"/>
  <c r="E48" i="22"/>
  <c r="L12" i="22"/>
  <c r="L243" i="22"/>
  <c r="H179" i="22"/>
  <c r="H265" i="22" s="1"/>
  <c r="L91" i="22"/>
  <c r="H91" i="22"/>
  <c r="L48" i="22"/>
  <c r="K12" i="22"/>
  <c r="G12" i="22"/>
  <c r="K179" i="22"/>
  <c r="K265" i="22" s="1"/>
  <c r="K91" i="22"/>
  <c r="G91" i="22"/>
  <c r="G10" i="22" s="1"/>
  <c r="K48" i="22"/>
  <c r="J12" i="22"/>
  <c r="F12" i="22"/>
  <c r="K10" i="22"/>
  <c r="E10" i="22" l="1"/>
  <c r="F10" i="22"/>
  <c r="I10" i="22"/>
  <c r="J10" i="22"/>
  <c r="L10" i="22"/>
  <c r="H34" i="5"/>
  <c r="BA14" i="9" l="1"/>
  <c r="AO14" i="9"/>
  <c r="AC14" i="9"/>
  <c r="BY15" i="4"/>
  <c r="BG15" i="4"/>
  <c r="AO15" i="4"/>
  <c r="I88" i="20" l="1"/>
  <c r="H88" i="20"/>
  <c r="I87" i="20"/>
  <c r="H87" i="20"/>
  <c r="I86" i="20"/>
  <c r="H86" i="20"/>
  <c r="I85" i="20"/>
  <c r="H85" i="20"/>
  <c r="I84" i="20"/>
  <c r="H84" i="20"/>
  <c r="L82" i="20"/>
  <c r="K82" i="20"/>
  <c r="H82" i="20"/>
  <c r="G82" i="20"/>
  <c r="F82" i="20"/>
  <c r="E82" i="20"/>
  <c r="I82" i="20" s="1"/>
  <c r="I80" i="20"/>
  <c r="H80" i="20"/>
  <c r="I79" i="20"/>
  <c r="H79" i="20"/>
  <c r="I78" i="20"/>
  <c r="H78" i="20"/>
  <c r="I77" i="20"/>
  <c r="H77" i="20"/>
  <c r="I76" i="20"/>
  <c r="H76" i="20"/>
  <c r="I75" i="20"/>
  <c r="H75" i="20"/>
  <c r="I74" i="20"/>
  <c r="H74" i="20"/>
  <c r="L73" i="20"/>
  <c r="K73" i="20"/>
  <c r="G73" i="20"/>
  <c r="H73" i="20" s="1"/>
  <c r="F73" i="20"/>
  <c r="E73" i="20"/>
  <c r="I73" i="20" s="1"/>
  <c r="I72" i="20"/>
  <c r="H72" i="20"/>
  <c r="I71" i="20"/>
  <c r="H71" i="20"/>
  <c r="I70" i="20"/>
  <c r="H70" i="20"/>
  <c r="I69" i="20"/>
  <c r="H69" i="20"/>
  <c r="I67" i="20"/>
  <c r="H67" i="20"/>
  <c r="I66" i="20"/>
  <c r="H66" i="20"/>
  <c r="I65" i="20"/>
  <c r="H65" i="20"/>
  <c r="I64" i="20"/>
  <c r="H64" i="20"/>
  <c r="I63" i="20"/>
  <c r="H63" i="20"/>
  <c r="I62" i="20"/>
  <c r="H62" i="20"/>
  <c r="I61" i="20"/>
  <c r="H61" i="20"/>
  <c r="I60" i="20"/>
  <c r="H60" i="20"/>
  <c r="I59" i="20"/>
  <c r="H59" i="20"/>
  <c r="I58" i="20"/>
  <c r="H58" i="20"/>
  <c r="I57" i="20"/>
  <c r="H57" i="20"/>
  <c r="I56" i="20"/>
  <c r="H56" i="20"/>
  <c r="L55" i="20"/>
  <c r="K55" i="20"/>
  <c r="H55" i="20"/>
  <c r="G55" i="20"/>
  <c r="F55" i="20"/>
  <c r="E55" i="20"/>
  <c r="I55" i="20" s="1"/>
  <c r="I54" i="20"/>
  <c r="H54" i="20"/>
  <c r="I53" i="20"/>
  <c r="H53" i="20"/>
  <c r="I52" i="20"/>
  <c r="H52" i="20"/>
  <c r="L51" i="20"/>
  <c r="K51" i="20"/>
  <c r="G51" i="20"/>
  <c r="H51" i="20" s="1"/>
  <c r="F51" i="20"/>
  <c r="E51" i="20"/>
  <c r="I51" i="20" s="1"/>
  <c r="I50" i="20"/>
  <c r="H50" i="20"/>
  <c r="I49" i="20"/>
  <c r="H49" i="20"/>
  <c r="I48" i="20"/>
  <c r="H48" i="20"/>
  <c r="I47" i="20"/>
  <c r="H47" i="20"/>
  <c r="I46" i="20"/>
  <c r="H46" i="20"/>
  <c r="I45" i="20"/>
  <c r="H45" i="20"/>
  <c r="I44" i="20"/>
  <c r="H44" i="20"/>
  <c r="I43" i="20"/>
  <c r="H43" i="20"/>
  <c r="I42" i="20"/>
  <c r="H42" i="20"/>
  <c r="I41" i="20"/>
  <c r="H41" i="20"/>
  <c r="I40" i="20"/>
  <c r="H40" i="20"/>
  <c r="I39" i="20"/>
  <c r="H39" i="20"/>
  <c r="I38" i="20"/>
  <c r="H38" i="20"/>
  <c r="L37" i="20"/>
  <c r="K37" i="20"/>
  <c r="K16" i="20" s="1"/>
  <c r="K14" i="20" s="1"/>
  <c r="G37" i="20"/>
  <c r="I37" i="20" s="1"/>
  <c r="F37" i="20"/>
  <c r="F16" i="20" s="1"/>
  <c r="F14" i="20" s="1"/>
  <c r="E37" i="20"/>
  <c r="I36" i="20"/>
  <c r="H36" i="20"/>
  <c r="I35" i="20"/>
  <c r="H35" i="20"/>
  <c r="I34" i="20"/>
  <c r="H34" i="20"/>
  <c r="I33" i="20"/>
  <c r="F33" i="20"/>
  <c r="H33" i="20" s="1"/>
  <c r="I32" i="20"/>
  <c r="H32" i="20"/>
  <c r="I31" i="20"/>
  <c r="H31" i="20"/>
  <c r="I30" i="20"/>
  <c r="H30" i="20"/>
  <c r="L29" i="20"/>
  <c r="K29" i="20"/>
  <c r="I29" i="20"/>
  <c r="H29" i="20"/>
  <c r="G29" i="20"/>
  <c r="F29" i="20"/>
  <c r="E29" i="20"/>
  <c r="I28" i="20"/>
  <c r="H28" i="20"/>
  <c r="I27" i="20"/>
  <c r="H27" i="20"/>
  <c r="I26" i="20"/>
  <c r="H26" i="20"/>
  <c r="I25" i="20"/>
  <c r="H25" i="20"/>
  <c r="L24" i="20"/>
  <c r="L16" i="20" s="1"/>
  <c r="L14" i="20" s="1"/>
  <c r="K24" i="20"/>
  <c r="G24" i="20"/>
  <c r="I24" i="20" s="1"/>
  <c r="F24" i="20"/>
  <c r="E24" i="20"/>
  <c r="I23" i="20"/>
  <c r="H23" i="20"/>
  <c r="I22" i="20"/>
  <c r="H22" i="20"/>
  <c r="I21" i="20"/>
  <c r="H21" i="20"/>
  <c r="L20" i="20"/>
  <c r="K20" i="20"/>
  <c r="I20" i="20"/>
  <c r="H20" i="20"/>
  <c r="G20" i="20"/>
  <c r="F20" i="20"/>
  <c r="I19" i="20"/>
  <c r="H19" i="20"/>
  <c r="L18" i="20"/>
  <c r="K18" i="20"/>
  <c r="H18" i="20"/>
  <c r="G18" i="20"/>
  <c r="F18" i="20"/>
  <c r="E18" i="20"/>
  <c r="I18" i="20" s="1"/>
  <c r="I17" i="20"/>
  <c r="H17" i="20"/>
  <c r="E16" i="20"/>
  <c r="E14" i="20" s="1"/>
  <c r="I13" i="20"/>
  <c r="H13" i="20"/>
  <c r="I12" i="20"/>
  <c r="H12" i="20"/>
  <c r="I11" i="20"/>
  <c r="H11" i="20"/>
  <c r="I10" i="20"/>
  <c r="H10" i="20"/>
  <c r="H24" i="20" l="1"/>
  <c r="G16" i="20"/>
  <c r="H37" i="20"/>
  <c r="H16" i="20" l="1"/>
  <c r="G14" i="20"/>
  <c r="I16" i="20"/>
  <c r="I14" i="20" l="1"/>
  <c r="H14" i="20"/>
  <c r="F21" i="10" l="1"/>
  <c r="F23" i="10"/>
  <c r="F24" i="10"/>
  <c r="F25" i="10"/>
  <c r="F26" i="10"/>
  <c r="F27" i="10"/>
  <c r="F28" i="10"/>
  <c r="F29" i="10"/>
  <c r="F30" i="10"/>
  <c r="F31" i="10"/>
  <c r="F32" i="10"/>
  <c r="E23" i="10"/>
  <c r="E24" i="10"/>
  <c r="E25" i="10"/>
  <c r="E26" i="10"/>
  <c r="E27" i="10"/>
  <c r="E28" i="10"/>
  <c r="E29" i="10"/>
  <c r="E30" i="10"/>
  <c r="E31" i="10"/>
  <c r="E32" i="10"/>
  <c r="E21" i="10"/>
  <c r="D23" i="10"/>
  <c r="D24" i="10"/>
  <c r="D25" i="10"/>
  <c r="D26" i="10"/>
  <c r="D27" i="10"/>
  <c r="D28" i="10"/>
  <c r="D29" i="10"/>
  <c r="D30" i="10"/>
  <c r="G43" i="10"/>
  <c r="H43" i="10"/>
  <c r="I43" i="10"/>
  <c r="J43" i="10"/>
  <c r="K43" i="10"/>
  <c r="L43" i="10"/>
  <c r="AZ40" i="9"/>
  <c r="BB6" i="9"/>
  <c r="BC6" i="9"/>
  <c r="BD6" i="9"/>
  <c r="BE6" i="9"/>
  <c r="BF6" i="9"/>
  <c r="BG6" i="9"/>
  <c r="BH6" i="9"/>
  <c r="BI6" i="9"/>
  <c r="BJ6" i="9"/>
  <c r="BK6" i="9"/>
  <c r="BA7" i="9"/>
  <c r="AZ7" i="9" s="1"/>
  <c r="BA8" i="9"/>
  <c r="AZ8" i="9" s="1"/>
  <c r="BB9" i="9"/>
  <c r="BC9" i="9"/>
  <c r="BD9" i="9"/>
  <c r="BE9" i="9"/>
  <c r="BF9" i="9"/>
  <c r="BG9" i="9"/>
  <c r="BH9" i="9"/>
  <c r="BI9" i="9"/>
  <c r="BJ9" i="9"/>
  <c r="BK9" i="9"/>
  <c r="BA10" i="9"/>
  <c r="AZ10" i="9" s="1"/>
  <c r="BA11" i="9"/>
  <c r="AZ11" i="9" s="1"/>
  <c r="BA12" i="9"/>
  <c r="AZ12" i="9" s="1"/>
  <c r="BA13" i="9"/>
  <c r="BB13" i="9"/>
  <c r="BC13" i="9"/>
  <c r="BD13" i="9"/>
  <c r="BE13" i="9"/>
  <c r="BF13" i="9"/>
  <c r="BG13" i="9"/>
  <c r="BH13" i="9"/>
  <c r="BI13" i="9"/>
  <c r="BJ13" i="9"/>
  <c r="BK13" i="9"/>
  <c r="AZ14" i="9"/>
  <c r="AZ13" i="9" s="1"/>
  <c r="BB15" i="9"/>
  <c r="BD15" i="9"/>
  <c r="BF15" i="9"/>
  <c r="BI15" i="9"/>
  <c r="BH16" i="9"/>
  <c r="BE17" i="9"/>
  <c r="BE18" i="9"/>
  <c r="AZ18" i="9" s="1"/>
  <c r="BE19" i="9"/>
  <c r="AZ19" i="9" s="1"/>
  <c r="BK20" i="9"/>
  <c r="AZ20" i="9" s="1"/>
  <c r="BG21" i="9"/>
  <c r="AZ21" i="9" s="1"/>
  <c r="BC22" i="9"/>
  <c r="AZ22" i="9" s="1"/>
  <c r="BJ23" i="9"/>
  <c r="BJ15" i="9" s="1"/>
  <c r="BK24" i="9"/>
  <c r="AZ24" i="9" s="1"/>
  <c r="BH25" i="9"/>
  <c r="AZ25" i="9" s="1"/>
  <c r="BA26" i="9"/>
  <c r="AZ26" i="9" s="1"/>
  <c r="BH27" i="9"/>
  <c r="AZ27" i="9" s="1"/>
  <c r="BH28" i="9"/>
  <c r="AZ28" i="9" s="1"/>
  <c r="BB29" i="9"/>
  <c r="BC29" i="9"/>
  <c r="BD29" i="9"/>
  <c r="BE29" i="9"/>
  <c r="BF29" i="9"/>
  <c r="BG29" i="9"/>
  <c r="BH29" i="9"/>
  <c r="BI29" i="9"/>
  <c r="BJ29" i="9"/>
  <c r="BK29" i="9"/>
  <c r="BA30" i="9"/>
  <c r="AZ31" i="9"/>
  <c r="BA32" i="9"/>
  <c r="AZ32" i="9" s="1"/>
  <c r="BA33" i="9"/>
  <c r="AZ33" i="9" s="1"/>
  <c r="BA34" i="9"/>
  <c r="AZ34" i="9" s="1"/>
  <c r="BA35" i="9"/>
  <c r="AZ35" i="9" s="1"/>
  <c r="BA36" i="9"/>
  <c r="AZ36" i="9" s="1"/>
  <c r="AZ37" i="9"/>
  <c r="AZ38" i="9"/>
  <c r="BB39" i="9"/>
  <c r="BC39" i="9"/>
  <c r="BD39" i="9"/>
  <c r="BE39" i="9"/>
  <c r="BF39" i="9"/>
  <c r="BG39" i="9"/>
  <c r="BH39" i="9"/>
  <c r="BI39" i="9"/>
  <c r="BJ39" i="9"/>
  <c r="BK39" i="9"/>
  <c r="BA41" i="9"/>
  <c r="BA39" i="9" s="1"/>
  <c r="BB42" i="9"/>
  <c r="BC42" i="9"/>
  <c r="BD42" i="9"/>
  <c r="BE42" i="9"/>
  <c r="BF42" i="9"/>
  <c r="BG42" i="9"/>
  <c r="BH42" i="9"/>
  <c r="BI42" i="9"/>
  <c r="BJ42" i="9"/>
  <c r="BK42" i="9"/>
  <c r="BA43" i="9"/>
  <c r="AZ43" i="9" s="1"/>
  <c r="AZ42" i="9" s="1"/>
  <c r="BC15" i="9" l="1"/>
  <c r="BH15" i="9"/>
  <c r="BA29" i="9"/>
  <c r="BK15" i="9"/>
  <c r="BK5" i="9" s="1"/>
  <c r="BB5" i="9"/>
  <c r="AZ9" i="9"/>
  <c r="BI5" i="9"/>
  <c r="BE15" i="9"/>
  <c r="BE5" i="9" s="1"/>
  <c r="AZ6" i="9"/>
  <c r="BH5" i="9"/>
  <c r="BD5" i="9"/>
  <c r="BC5" i="9"/>
  <c r="BF5" i="9"/>
  <c r="BJ5" i="9"/>
  <c r="BG15" i="9"/>
  <c r="BG5" i="9" s="1"/>
  <c r="AZ41" i="9"/>
  <c r="AZ39" i="9" s="1"/>
  <c r="AZ30" i="9"/>
  <c r="AZ29" i="9" s="1"/>
  <c r="AZ23" i="9"/>
  <c r="AZ17" i="9"/>
  <c r="BA9" i="9"/>
  <c r="BA6" i="9"/>
  <c r="BA42" i="9"/>
  <c r="BA15" i="9"/>
  <c r="AZ16" i="9"/>
  <c r="BA5" i="9" l="1"/>
  <c r="AZ15" i="9"/>
  <c r="AZ5" i="9" s="1"/>
  <c r="AN40" i="9" l="1"/>
  <c r="AO38" i="9"/>
  <c r="AO35" i="9"/>
  <c r="AN35" i="9" s="1"/>
  <c r="AO34" i="9"/>
  <c r="AO33" i="9"/>
  <c r="AO32" i="9"/>
  <c r="AO30" i="9"/>
  <c r="AV28" i="9" l="1"/>
  <c r="AV27" i="9"/>
  <c r="AO26" i="9"/>
  <c r="AV25" i="9"/>
  <c r="AY24" i="9"/>
  <c r="AX23" i="9"/>
  <c r="AQ22" i="9"/>
  <c r="AY20" i="9"/>
  <c r="AU21" i="9"/>
  <c r="AS18" i="9"/>
  <c r="AS19" i="9"/>
  <c r="AS17" i="9"/>
  <c r="AV16" i="9"/>
  <c r="AO11" i="9"/>
  <c r="AO12" i="9"/>
  <c r="AO10" i="9"/>
  <c r="AO8" i="9"/>
  <c r="AO7" i="9"/>
  <c r="AB40" i="9"/>
  <c r="P31" i="9" l="1"/>
  <c r="I7" i="5"/>
  <c r="J7" i="5"/>
  <c r="I8" i="5"/>
  <c r="J8" i="5"/>
  <c r="I10" i="5"/>
  <c r="J10" i="5"/>
  <c r="J28" i="3"/>
  <c r="K28" i="3"/>
  <c r="K10" i="3"/>
  <c r="J10" i="3"/>
  <c r="K7" i="3"/>
  <c r="K8" i="3"/>
  <c r="J7" i="3"/>
  <c r="J8" i="3"/>
  <c r="AS29" i="4"/>
  <c r="AT29" i="4"/>
  <c r="AV29" i="4"/>
  <c r="AW29" i="4"/>
  <c r="AX29" i="4"/>
  <c r="AY29" i="4"/>
  <c r="AZ29" i="4"/>
  <c r="BA29" i="4"/>
  <c r="AN20" i="4"/>
  <c r="J6" i="5" l="1"/>
  <c r="J9" i="5" s="1"/>
  <c r="I6" i="5"/>
  <c r="I9" i="5" s="1"/>
  <c r="G42" i="8"/>
  <c r="F42" i="8"/>
  <c r="E42" i="8"/>
  <c r="D42" i="8"/>
  <c r="C42" i="8"/>
  <c r="G40" i="8"/>
  <c r="F40" i="8"/>
  <c r="E40" i="8"/>
  <c r="D40" i="8"/>
  <c r="C40" i="8"/>
  <c r="G38" i="8"/>
  <c r="F38" i="8"/>
  <c r="E38" i="8"/>
  <c r="D38" i="8"/>
  <c r="C38" i="8"/>
  <c r="G36" i="8"/>
  <c r="F36" i="8"/>
  <c r="E36" i="8"/>
  <c r="D36" i="8"/>
  <c r="C36" i="8"/>
  <c r="G34" i="8"/>
  <c r="F34" i="8"/>
  <c r="E34" i="8"/>
  <c r="D34" i="8"/>
  <c r="C34" i="8"/>
  <c r="G31" i="8"/>
  <c r="F31" i="8"/>
  <c r="E31" i="8"/>
  <c r="D31" i="8"/>
  <c r="C31" i="8"/>
  <c r="G23" i="8"/>
  <c r="F23" i="8"/>
  <c r="E23" i="8"/>
  <c r="D23" i="8"/>
  <c r="C23" i="8"/>
  <c r="G7" i="8"/>
  <c r="F7" i="8"/>
  <c r="E7" i="8"/>
  <c r="D7" i="8"/>
  <c r="C7" i="8"/>
  <c r="C21" i="8" l="1"/>
  <c r="G21" i="8"/>
  <c r="F21" i="8"/>
  <c r="F5" i="8" s="1"/>
  <c r="D21" i="8"/>
  <c r="D5" i="8" s="1"/>
  <c r="E21" i="8"/>
  <c r="E5" i="8" s="1"/>
  <c r="C5" i="8"/>
  <c r="G5" i="8"/>
  <c r="F6" i="4"/>
  <c r="F7" i="4"/>
  <c r="F10" i="4"/>
  <c r="F14" i="4"/>
  <c r="F16" i="4"/>
  <c r="F40" i="4"/>
  <c r="F30" i="4"/>
  <c r="H33" i="5"/>
  <c r="D32" i="10" s="1"/>
  <c r="H32" i="5"/>
  <c r="D31" i="10" s="1"/>
  <c r="H21" i="5"/>
  <c r="M25" i="18" l="1"/>
  <c r="L25" i="18"/>
  <c r="K25" i="18"/>
  <c r="I25" i="18"/>
  <c r="H25" i="18"/>
  <c r="F25" i="18"/>
  <c r="E25" i="18"/>
  <c r="D25" i="18" s="1"/>
  <c r="L24" i="18"/>
  <c r="K24" i="18"/>
  <c r="I24" i="18"/>
  <c r="H24" i="18"/>
  <c r="P24" i="18" s="1"/>
  <c r="G24" i="18"/>
  <c r="F24" i="18"/>
  <c r="E24" i="18"/>
  <c r="D24" i="18"/>
  <c r="M23" i="18"/>
  <c r="L23" i="18"/>
  <c r="K23" i="18"/>
  <c r="J23" i="18" s="1"/>
  <c r="I23" i="18"/>
  <c r="H23" i="18"/>
  <c r="G23" i="18"/>
  <c r="F23" i="18"/>
  <c r="E23" i="18"/>
  <c r="M22" i="18"/>
  <c r="L22" i="18"/>
  <c r="K22" i="18"/>
  <c r="J22" i="18" s="1"/>
  <c r="I22" i="18"/>
  <c r="H22" i="18"/>
  <c r="F22" i="18"/>
  <c r="E22" i="18"/>
  <c r="M21" i="18"/>
  <c r="L21" i="18"/>
  <c r="K21" i="18"/>
  <c r="I21" i="18"/>
  <c r="H21" i="18"/>
  <c r="G21" i="18" s="1"/>
  <c r="F21" i="18"/>
  <c r="E21" i="18"/>
  <c r="D21" i="18"/>
  <c r="M20" i="18"/>
  <c r="L20" i="18"/>
  <c r="K20" i="18"/>
  <c r="I20" i="18"/>
  <c r="H20" i="18"/>
  <c r="F20" i="18"/>
  <c r="E20" i="18"/>
  <c r="M19" i="18"/>
  <c r="L19" i="18"/>
  <c r="K19" i="18"/>
  <c r="J19" i="18"/>
  <c r="I19" i="18"/>
  <c r="H19" i="18"/>
  <c r="F19" i="18"/>
  <c r="E19" i="18"/>
  <c r="M18" i="18"/>
  <c r="L18" i="18"/>
  <c r="K18" i="18"/>
  <c r="J18" i="18"/>
  <c r="I18" i="18"/>
  <c r="G18" i="18" s="1"/>
  <c r="H18" i="18"/>
  <c r="D18" i="18"/>
  <c r="F17" i="18"/>
  <c r="M15" i="18"/>
  <c r="M14" i="18" s="1"/>
  <c r="L15" i="18"/>
  <c r="K15" i="18"/>
  <c r="K14" i="18" s="1"/>
  <c r="J15" i="18"/>
  <c r="J14" i="18" s="1"/>
  <c r="I15" i="18"/>
  <c r="G15" i="18" s="1"/>
  <c r="G14" i="18" s="1"/>
  <c r="H15" i="18"/>
  <c r="F15" i="18"/>
  <c r="F14" i="18" s="1"/>
  <c r="E15" i="18"/>
  <c r="D15" i="18" s="1"/>
  <c r="D14" i="18" s="1"/>
  <c r="L14" i="18"/>
  <c r="H14" i="18"/>
  <c r="L12" i="18"/>
  <c r="L10" i="18" s="1"/>
  <c r="K12" i="18"/>
  <c r="I12" i="18"/>
  <c r="H12" i="18"/>
  <c r="G12" i="18"/>
  <c r="F12" i="18"/>
  <c r="E12" i="18"/>
  <c r="E10" i="18" s="1"/>
  <c r="D12" i="18"/>
  <c r="F10" i="18"/>
  <c r="J22" i="16"/>
  <c r="G22" i="16"/>
  <c r="J21" i="16"/>
  <c r="G21" i="16"/>
  <c r="J20" i="16"/>
  <c r="G20" i="16"/>
  <c r="D20" i="16"/>
  <c r="J19" i="16"/>
  <c r="G19" i="16"/>
  <c r="D19" i="16"/>
  <c r="J18" i="16"/>
  <c r="G18" i="16"/>
  <c r="E18" i="16"/>
  <c r="D18" i="16" s="1"/>
  <c r="J17" i="16"/>
  <c r="G17" i="16"/>
  <c r="D17" i="16"/>
  <c r="J16" i="16"/>
  <c r="G16" i="16"/>
  <c r="D16" i="16"/>
  <c r="J15" i="16"/>
  <c r="G15" i="16"/>
  <c r="D15" i="16"/>
  <c r="L14" i="16"/>
  <c r="L6" i="16" s="1"/>
  <c r="K14" i="16"/>
  <c r="I14" i="16"/>
  <c r="H14" i="16"/>
  <c r="H6" i="16" s="1"/>
  <c r="F14" i="16"/>
  <c r="E14" i="16"/>
  <c r="J12" i="16"/>
  <c r="G12" i="16"/>
  <c r="G11" i="16" s="1"/>
  <c r="D12" i="16"/>
  <c r="D11" i="16" s="1"/>
  <c r="L11" i="16"/>
  <c r="K11" i="16"/>
  <c r="J11" i="16"/>
  <c r="I11" i="16"/>
  <c r="H11" i="16"/>
  <c r="F11" i="16"/>
  <c r="E11" i="16"/>
  <c r="J9" i="16"/>
  <c r="G9" i="16"/>
  <c r="D9" i="16"/>
  <c r="L7" i="16"/>
  <c r="K7" i="16"/>
  <c r="I7" i="16"/>
  <c r="H7" i="16"/>
  <c r="F7" i="16"/>
  <c r="E7" i="16"/>
  <c r="E6" i="16" s="1"/>
  <c r="R6" i="16"/>
  <c r="Q6" i="16"/>
  <c r="P6" i="16"/>
  <c r="O6" i="16"/>
  <c r="N6" i="16"/>
  <c r="M6" i="16"/>
  <c r="K6" i="16"/>
  <c r="S25" i="17"/>
  <c r="M25" i="17"/>
  <c r="G25" i="17"/>
  <c r="E25" i="17"/>
  <c r="S24" i="17"/>
  <c r="M24" i="17"/>
  <c r="G24" i="17"/>
  <c r="E24" i="17"/>
  <c r="Q24" i="17" s="1"/>
  <c r="S23" i="17"/>
  <c r="M23" i="17"/>
  <c r="J23" i="17"/>
  <c r="I23" i="17"/>
  <c r="I17" i="17" s="1"/>
  <c r="H23" i="17"/>
  <c r="E23" i="17"/>
  <c r="F23" i="17" s="1"/>
  <c r="S22" i="17"/>
  <c r="M22" i="17"/>
  <c r="J22" i="17"/>
  <c r="H22" i="17"/>
  <c r="G22" i="17" s="1"/>
  <c r="E22" i="17"/>
  <c r="S21" i="17"/>
  <c r="M21" i="17"/>
  <c r="J21" i="17"/>
  <c r="G21" i="17"/>
  <c r="E21" i="17"/>
  <c r="F21" i="17" s="1"/>
  <c r="S20" i="17"/>
  <c r="M20" i="17"/>
  <c r="J20" i="17"/>
  <c r="G20" i="17"/>
  <c r="E20" i="17"/>
  <c r="S19" i="17"/>
  <c r="M19" i="17"/>
  <c r="J19" i="17"/>
  <c r="G19" i="17"/>
  <c r="E19" i="17"/>
  <c r="F19" i="17" s="1"/>
  <c r="S18" i="17"/>
  <c r="R18" i="17"/>
  <c r="M18" i="17"/>
  <c r="J18" i="17"/>
  <c r="G18" i="17"/>
  <c r="E18" i="17"/>
  <c r="D18" i="17"/>
  <c r="U17" i="17"/>
  <c r="T17" i="17"/>
  <c r="O17" i="17"/>
  <c r="N17" i="17"/>
  <c r="L17" i="17"/>
  <c r="K17" i="17"/>
  <c r="S15" i="17"/>
  <c r="M15" i="17"/>
  <c r="J15" i="17"/>
  <c r="G15" i="17"/>
  <c r="E15" i="17"/>
  <c r="Q15" i="17" s="1"/>
  <c r="U14" i="17"/>
  <c r="T14" i="17"/>
  <c r="S14" i="17" s="1"/>
  <c r="O14" i="17"/>
  <c r="N14" i="17"/>
  <c r="L14" i="17"/>
  <c r="K14" i="17"/>
  <c r="I14" i="17"/>
  <c r="H14" i="17"/>
  <c r="S12" i="17"/>
  <c r="M12" i="17"/>
  <c r="J12" i="17"/>
  <c r="I12" i="17"/>
  <c r="H12" i="17"/>
  <c r="E12" i="17"/>
  <c r="U11" i="17"/>
  <c r="T11" i="17"/>
  <c r="O11" i="17"/>
  <c r="O10" i="17" s="1"/>
  <c r="N11" i="17"/>
  <c r="L11" i="17"/>
  <c r="K11" i="17"/>
  <c r="J11" i="17" s="1"/>
  <c r="H11" i="17"/>
  <c r="S25" i="15"/>
  <c r="M25" i="15"/>
  <c r="I25" i="15"/>
  <c r="H25" i="15"/>
  <c r="G25" i="15" s="1"/>
  <c r="E25" i="15"/>
  <c r="F25" i="15" s="1"/>
  <c r="S24" i="15"/>
  <c r="M24" i="15"/>
  <c r="I24" i="15"/>
  <c r="H24" i="15"/>
  <c r="Q24" i="15" s="1"/>
  <c r="E24" i="15"/>
  <c r="F24" i="15" s="1"/>
  <c r="S23" i="15"/>
  <c r="M23" i="15"/>
  <c r="J23" i="15"/>
  <c r="I23" i="15"/>
  <c r="H23" i="15"/>
  <c r="G23" i="15"/>
  <c r="E23" i="15"/>
  <c r="F23" i="15" s="1"/>
  <c r="S22" i="15"/>
  <c r="M22" i="15"/>
  <c r="J22" i="15"/>
  <c r="I22" i="15"/>
  <c r="G22" i="15" s="1"/>
  <c r="H22" i="15"/>
  <c r="E22" i="15"/>
  <c r="F22" i="15" s="1"/>
  <c r="S21" i="15"/>
  <c r="M21" i="15"/>
  <c r="K21" i="15"/>
  <c r="K17" i="15" s="1"/>
  <c r="J21" i="15"/>
  <c r="I21" i="15"/>
  <c r="H21" i="15"/>
  <c r="E21" i="15"/>
  <c r="S20" i="15"/>
  <c r="M20" i="15"/>
  <c r="J20" i="15"/>
  <c r="I20" i="15"/>
  <c r="H20" i="15"/>
  <c r="G20" i="15" s="1"/>
  <c r="E20" i="15"/>
  <c r="F20" i="15" s="1"/>
  <c r="R20" i="15" s="1"/>
  <c r="S19" i="15"/>
  <c r="M19" i="15"/>
  <c r="J19" i="15"/>
  <c r="J17" i="15" s="1"/>
  <c r="I19" i="15"/>
  <c r="H19" i="15"/>
  <c r="G19" i="15" s="1"/>
  <c r="E19" i="15"/>
  <c r="E17" i="15" s="1"/>
  <c r="S18" i="15"/>
  <c r="M18" i="15"/>
  <c r="J18" i="15"/>
  <c r="I18" i="15"/>
  <c r="R18" i="15" s="1"/>
  <c r="H18" i="15"/>
  <c r="E18" i="15"/>
  <c r="D18" i="15"/>
  <c r="U17" i="15"/>
  <c r="T17" i="15"/>
  <c r="O17" i="15"/>
  <c r="N17" i="15"/>
  <c r="M17" i="15"/>
  <c r="L17" i="15"/>
  <c r="I17" i="15"/>
  <c r="S15" i="15"/>
  <c r="M15" i="15"/>
  <c r="J15" i="15"/>
  <c r="J14" i="15" s="1"/>
  <c r="I15" i="15"/>
  <c r="H15" i="15"/>
  <c r="E15" i="15"/>
  <c r="U14" i="15"/>
  <c r="U9" i="15" s="1"/>
  <c r="T14" i="15"/>
  <c r="S14" i="15"/>
  <c r="O14" i="15"/>
  <c r="N14" i="15"/>
  <c r="M14" i="15"/>
  <c r="L14" i="15"/>
  <c r="K14" i="15"/>
  <c r="H14" i="15"/>
  <c r="S12" i="15"/>
  <c r="M12" i="15"/>
  <c r="L12" i="15"/>
  <c r="L10" i="15" s="1"/>
  <c r="L9" i="15" s="1"/>
  <c r="K12" i="15"/>
  <c r="K10" i="15" s="1"/>
  <c r="I12" i="15"/>
  <c r="H12" i="15"/>
  <c r="E12" i="15"/>
  <c r="U10" i="15"/>
  <c r="S10" i="15" s="1"/>
  <c r="T10" i="15"/>
  <c r="O10" i="15"/>
  <c r="N10" i="15"/>
  <c r="N9" i="15" s="1"/>
  <c r="H10" i="15"/>
  <c r="E17" i="18" l="1"/>
  <c r="D19" i="18"/>
  <c r="K17" i="18"/>
  <c r="P23" i="18"/>
  <c r="J25" i="18"/>
  <c r="M12" i="18"/>
  <c r="G19" i="18"/>
  <c r="G20" i="18"/>
  <c r="G17" i="18" s="1"/>
  <c r="L17" i="18"/>
  <c r="L9" i="18" s="1"/>
  <c r="G22" i="18"/>
  <c r="M24" i="18"/>
  <c r="M17" i="18" s="1"/>
  <c r="F9" i="18"/>
  <c r="J12" i="18"/>
  <c r="P19" i="18"/>
  <c r="D20" i="18"/>
  <c r="P20" i="18"/>
  <c r="J21" i="18"/>
  <c r="D22" i="18"/>
  <c r="D23" i="18"/>
  <c r="J24" i="18"/>
  <c r="M17" i="17"/>
  <c r="H17" i="17"/>
  <c r="H10" i="17" s="1"/>
  <c r="G14" i="17"/>
  <c r="M11" i="17"/>
  <c r="J14" i="17"/>
  <c r="G12" i="17"/>
  <c r="Q12" i="17"/>
  <c r="Q11" i="17" s="1"/>
  <c r="G23" i="17"/>
  <c r="G17" i="17" s="1"/>
  <c r="F24" i="17"/>
  <c r="R24" i="17" s="1"/>
  <c r="P24" i="17" s="1"/>
  <c r="I11" i="17"/>
  <c r="I10" i="17" s="1"/>
  <c r="P12" i="18"/>
  <c r="D10" i="18"/>
  <c r="D17" i="18"/>
  <c r="P25" i="18"/>
  <c r="K10" i="18"/>
  <c r="E14" i="18"/>
  <c r="P21" i="18"/>
  <c r="K10" i="17"/>
  <c r="U10" i="17"/>
  <c r="M14" i="17"/>
  <c r="M10" i="17" s="1"/>
  <c r="S17" i="17"/>
  <c r="Q21" i="17"/>
  <c r="Q23" i="17"/>
  <c r="I10" i="18"/>
  <c r="I17" i="18"/>
  <c r="J20" i="18"/>
  <c r="G25" i="18"/>
  <c r="Q19" i="17"/>
  <c r="J17" i="17"/>
  <c r="J10" i="17" s="1"/>
  <c r="F12" i="17"/>
  <c r="D12" i="17" s="1"/>
  <c r="I14" i="18"/>
  <c r="P22" i="18"/>
  <c r="E11" i="17"/>
  <c r="L10" i="17"/>
  <c r="H10" i="18"/>
  <c r="H17" i="18"/>
  <c r="G7" i="16"/>
  <c r="G6" i="16" s="1"/>
  <c r="G14" i="16"/>
  <c r="F6" i="16"/>
  <c r="J7" i="16"/>
  <c r="J6" i="16" s="1"/>
  <c r="D14" i="16"/>
  <c r="J14" i="16"/>
  <c r="I6" i="16"/>
  <c r="J12" i="15"/>
  <c r="G24" i="15"/>
  <c r="D7" i="16"/>
  <c r="T9" i="15"/>
  <c r="D20" i="15"/>
  <c r="G21" i="15"/>
  <c r="G11" i="17"/>
  <c r="S11" i="17"/>
  <c r="T10" i="17"/>
  <c r="Q14" i="17"/>
  <c r="R19" i="17"/>
  <c r="D19" i="17"/>
  <c r="Q22" i="17"/>
  <c r="F22" i="17"/>
  <c r="R22" i="17" s="1"/>
  <c r="R21" i="17"/>
  <c r="D21" i="17"/>
  <c r="D23" i="17"/>
  <c r="R23" i="17"/>
  <c r="N10" i="17"/>
  <c r="E17" i="17"/>
  <c r="F20" i="17"/>
  <c r="R20" i="17" s="1"/>
  <c r="Q20" i="17"/>
  <c r="P20" i="17" s="1"/>
  <c r="F25" i="17"/>
  <c r="R25" i="17" s="1"/>
  <c r="F15" i="17"/>
  <c r="Q18" i="17"/>
  <c r="Q25" i="17"/>
  <c r="E14" i="17"/>
  <c r="G12" i="15"/>
  <c r="I10" i="15"/>
  <c r="F15" i="15"/>
  <c r="D15" i="15"/>
  <c r="D14" i="15" s="1"/>
  <c r="E14" i="15"/>
  <c r="Q18" i="15"/>
  <c r="G18" i="15"/>
  <c r="G17" i="15" s="1"/>
  <c r="H17" i="15"/>
  <c r="H9" i="15" s="1"/>
  <c r="D24" i="15"/>
  <c r="R24" i="15"/>
  <c r="Q15" i="15"/>
  <c r="S17" i="15"/>
  <c r="S9" i="15" s="1"/>
  <c r="R23" i="15"/>
  <c r="D23" i="15"/>
  <c r="M10" i="15"/>
  <c r="M9" i="15" s="1"/>
  <c r="O9" i="15"/>
  <c r="F12" i="15"/>
  <c r="D12" i="15"/>
  <c r="Q12" i="15"/>
  <c r="E10" i="15"/>
  <c r="G15" i="15"/>
  <c r="G14" i="15" s="1"/>
  <c r="I14" i="15"/>
  <c r="D22" i="15"/>
  <c r="R22" i="15"/>
  <c r="P24" i="15"/>
  <c r="R25" i="15"/>
  <c r="D25" i="15"/>
  <c r="J10" i="15"/>
  <c r="J9" i="15" s="1"/>
  <c r="K9" i="15"/>
  <c r="Q19" i="15"/>
  <c r="Q21" i="15"/>
  <c r="Q25" i="15"/>
  <c r="Q20" i="15"/>
  <c r="P20" i="15" s="1"/>
  <c r="F19" i="15"/>
  <c r="F21" i="15"/>
  <c r="Q22" i="15"/>
  <c r="Q23" i="15"/>
  <c r="P23" i="15" s="1"/>
  <c r="I9" i="18" l="1"/>
  <c r="J17" i="18"/>
  <c r="E9" i="18"/>
  <c r="P21" i="17"/>
  <c r="E10" i="17"/>
  <c r="P19" i="17"/>
  <c r="D24" i="17"/>
  <c r="S10" i="17"/>
  <c r="G10" i="17"/>
  <c r="D22" i="17"/>
  <c r="P18" i="18"/>
  <c r="P17" i="18" s="1"/>
  <c r="P23" i="17"/>
  <c r="P22" i="17"/>
  <c r="P15" i="18"/>
  <c r="P14" i="18" s="1"/>
  <c r="K9" i="18"/>
  <c r="J10" i="18"/>
  <c r="J9" i="18" s="1"/>
  <c r="P10" i="18"/>
  <c r="G10" i="18"/>
  <c r="G9" i="18" s="1"/>
  <c r="H9" i="18"/>
  <c r="F11" i="17"/>
  <c r="D11" i="17" s="1"/>
  <c r="R12" i="17"/>
  <c r="M10" i="18"/>
  <c r="M9" i="18" s="1"/>
  <c r="D9" i="18"/>
  <c r="D6" i="16"/>
  <c r="P25" i="15"/>
  <c r="F17" i="17"/>
  <c r="P25" i="17"/>
  <c r="Q17" i="17"/>
  <c r="Q10" i="17" s="1"/>
  <c r="P18" i="17"/>
  <c r="R17" i="17"/>
  <c r="F14" i="17"/>
  <c r="R15" i="17"/>
  <c r="D15" i="17"/>
  <c r="D20" i="17"/>
  <c r="D14" i="17"/>
  <c r="D25" i="17"/>
  <c r="R21" i="15"/>
  <c r="P21" i="15" s="1"/>
  <c r="D21" i="15"/>
  <c r="Q10" i="15"/>
  <c r="R19" i="15"/>
  <c r="R17" i="15" s="1"/>
  <c r="F17" i="15"/>
  <c r="D19" i="15"/>
  <c r="R12" i="15"/>
  <c r="R10" i="15" s="1"/>
  <c r="F10" i="15"/>
  <c r="Q14" i="15"/>
  <c r="R15" i="15"/>
  <c r="R14" i="15" s="1"/>
  <c r="F14" i="15"/>
  <c r="P22" i="15"/>
  <c r="E9" i="15"/>
  <c r="Q17" i="15"/>
  <c r="P18" i="15"/>
  <c r="G10" i="15"/>
  <c r="G9" i="15" s="1"/>
  <c r="I9" i="15"/>
  <c r="P9" i="18" l="1"/>
  <c r="P17" i="17"/>
  <c r="D17" i="17"/>
  <c r="R11" i="17"/>
  <c r="P11" i="17" s="1"/>
  <c r="P12" i="17"/>
  <c r="P19" i="15"/>
  <c r="P17" i="15"/>
  <c r="P15" i="15"/>
  <c r="P14" i="15" s="1"/>
  <c r="D17" i="15"/>
  <c r="P12" i="15"/>
  <c r="D10" i="17"/>
  <c r="R14" i="17"/>
  <c r="P15" i="17"/>
  <c r="F10" i="17"/>
  <c r="P10" i="15"/>
  <c r="P9" i="15" s="1"/>
  <c r="Q9" i="15"/>
  <c r="F9" i="15"/>
  <c r="D10" i="15"/>
  <c r="R9" i="15"/>
  <c r="D9" i="15" l="1"/>
  <c r="R10" i="17"/>
  <c r="P14" i="17"/>
  <c r="P10" i="17" s="1"/>
  <c r="D9" i="14" l="1"/>
  <c r="E9" i="14"/>
  <c r="C9" i="14"/>
  <c r="O22" i="10"/>
  <c r="N22" i="10"/>
  <c r="M22" i="10"/>
  <c r="G46" i="10"/>
  <c r="H46" i="10"/>
  <c r="I46" i="10"/>
  <c r="G33" i="10"/>
  <c r="H33" i="10"/>
  <c r="I33" i="10"/>
  <c r="J9" i="10"/>
  <c r="L9" i="10"/>
  <c r="J17" i="10"/>
  <c r="K17" i="10"/>
  <c r="L17" i="10"/>
  <c r="G13" i="10"/>
  <c r="H13" i="10"/>
  <c r="I13" i="10"/>
  <c r="K9" i="10"/>
  <c r="E47" i="10"/>
  <c r="E46" i="10" s="1"/>
  <c r="O32" i="10"/>
  <c r="N32" i="10"/>
  <c r="O31" i="10"/>
  <c r="N31" i="10"/>
  <c r="O30" i="10"/>
  <c r="N30" i="10"/>
  <c r="M30" i="10"/>
  <c r="G19" i="10"/>
  <c r="H19" i="10"/>
  <c r="I19" i="10"/>
  <c r="J19" i="10"/>
  <c r="K19" i="10"/>
  <c r="L19" i="10"/>
  <c r="F47" i="10"/>
  <c r="F46" i="10" s="1"/>
  <c r="D47" i="10"/>
  <c r="D46" i="10" s="1"/>
  <c r="E44" i="10"/>
  <c r="F44" i="10"/>
  <c r="E45" i="10"/>
  <c r="N45" i="10" s="1"/>
  <c r="F45" i="10"/>
  <c r="O45" i="10" s="1"/>
  <c r="D45" i="10"/>
  <c r="M45" i="10" s="1"/>
  <c r="D44" i="10"/>
  <c r="F43" i="10" l="1"/>
  <c r="E43" i="10"/>
  <c r="D43" i="10"/>
  <c r="D35" i="10"/>
  <c r="M35" i="10" s="1"/>
  <c r="E35" i="10"/>
  <c r="N35" i="10" s="1"/>
  <c r="F35" i="10"/>
  <c r="O35" i="10" s="1"/>
  <c r="D36" i="10"/>
  <c r="M36" i="10" s="1"/>
  <c r="E36" i="10"/>
  <c r="N36" i="10" s="1"/>
  <c r="F36" i="10"/>
  <c r="O36" i="10" s="1"/>
  <c r="D37" i="10"/>
  <c r="M37" i="10" s="1"/>
  <c r="E37" i="10"/>
  <c r="N37" i="10" s="1"/>
  <c r="F37" i="10"/>
  <c r="O37" i="10" s="1"/>
  <c r="D38" i="10"/>
  <c r="E38" i="10"/>
  <c r="F38" i="10"/>
  <c r="D39" i="10"/>
  <c r="M39" i="10" s="1"/>
  <c r="E39" i="10"/>
  <c r="N39" i="10" s="1"/>
  <c r="F39" i="10"/>
  <c r="O39" i="10" s="1"/>
  <c r="D40" i="10"/>
  <c r="M40" i="10" s="1"/>
  <c r="E40" i="10"/>
  <c r="N40" i="10" s="1"/>
  <c r="F40" i="10"/>
  <c r="O40" i="10" s="1"/>
  <c r="D41" i="10"/>
  <c r="M41" i="10" s="1"/>
  <c r="E41" i="10"/>
  <c r="N41" i="10" s="1"/>
  <c r="F41" i="10"/>
  <c r="O41" i="10" s="1"/>
  <c r="D42" i="10"/>
  <c r="M42" i="10" s="1"/>
  <c r="E42" i="10"/>
  <c r="N42" i="10" s="1"/>
  <c r="F42" i="10"/>
  <c r="O42" i="10" s="1"/>
  <c r="E34" i="10"/>
  <c r="N34" i="10" s="1"/>
  <c r="F34" i="10"/>
  <c r="O34" i="10" s="1"/>
  <c r="D34" i="10"/>
  <c r="M34" i="10" s="1"/>
  <c r="D21" i="10"/>
  <c r="M21" i="10" s="1"/>
  <c r="N21" i="10"/>
  <c r="O21" i="10"/>
  <c r="M23" i="10"/>
  <c r="N23" i="10"/>
  <c r="O23" i="10"/>
  <c r="M24" i="10"/>
  <c r="N24" i="10"/>
  <c r="O24" i="10"/>
  <c r="M25" i="10"/>
  <c r="M26" i="10"/>
  <c r="N26" i="10"/>
  <c r="O26" i="10"/>
  <c r="M27" i="10"/>
  <c r="N27" i="10"/>
  <c r="O27" i="10"/>
  <c r="M28" i="10"/>
  <c r="N28" i="10"/>
  <c r="O28" i="10"/>
  <c r="M29" i="10"/>
  <c r="N29" i="10"/>
  <c r="O29" i="10"/>
  <c r="M31" i="10"/>
  <c r="M32" i="10"/>
  <c r="E20" i="10"/>
  <c r="N20" i="10" s="1"/>
  <c r="F20" i="10"/>
  <c r="O20" i="10" s="1"/>
  <c r="D20" i="10"/>
  <c r="E18" i="10"/>
  <c r="N18" i="10" s="1"/>
  <c r="F18" i="10"/>
  <c r="O18" i="10" s="1"/>
  <c r="D18" i="10"/>
  <c r="M18" i="10" s="1"/>
  <c r="E14" i="10"/>
  <c r="N14" i="10" s="1"/>
  <c r="F14" i="10"/>
  <c r="O14" i="10" s="1"/>
  <c r="E15" i="10"/>
  <c r="F15" i="10"/>
  <c r="E16" i="10"/>
  <c r="N16" i="10" s="1"/>
  <c r="F16" i="10"/>
  <c r="O16" i="10" s="1"/>
  <c r="D15" i="10"/>
  <c r="D16" i="10"/>
  <c r="M16" i="10" s="1"/>
  <c r="D14" i="10"/>
  <c r="M14" i="10" s="1"/>
  <c r="D12" i="10"/>
  <c r="M12" i="10" s="1"/>
  <c r="E12" i="10"/>
  <c r="N12" i="10" s="1"/>
  <c r="F12" i="10"/>
  <c r="O12" i="10" s="1"/>
  <c r="E11" i="10"/>
  <c r="N11" i="10" s="1"/>
  <c r="F11" i="10"/>
  <c r="O11" i="10" s="1"/>
  <c r="D11" i="10"/>
  <c r="M11" i="10" s="1"/>
  <c r="G10" i="10"/>
  <c r="H10" i="10"/>
  <c r="I10" i="10"/>
  <c r="J10" i="10"/>
  <c r="K10" i="10"/>
  <c r="L10" i="10"/>
  <c r="D19" i="10" l="1"/>
  <c r="F10" i="10"/>
  <c r="F13" i="10"/>
  <c r="O15" i="10"/>
  <c r="O13" i="10" s="1"/>
  <c r="M15" i="10"/>
  <c r="M13" i="10" s="1"/>
  <c r="D13" i="10"/>
  <c r="E13" i="10"/>
  <c r="N15" i="10"/>
  <c r="N13" i="10" s="1"/>
  <c r="D10" i="10"/>
  <c r="E10" i="10"/>
  <c r="M38" i="10"/>
  <c r="D33" i="10"/>
  <c r="M33" i="10" s="1"/>
  <c r="O38" i="10"/>
  <c r="F33" i="10"/>
  <c r="E33" i="10"/>
  <c r="N38" i="10"/>
  <c r="F19" i="10"/>
  <c r="O25" i="10"/>
  <c r="O19" i="10" s="1"/>
  <c r="N25" i="10"/>
  <c r="N19" i="10" s="1"/>
  <c r="E19" i="10"/>
  <c r="M20" i="10"/>
  <c r="M19" i="10" s="1"/>
  <c r="M10" i="10" l="1"/>
  <c r="N10" i="10"/>
  <c r="O10" i="10"/>
  <c r="H42" i="3"/>
  <c r="I43" i="3"/>
  <c r="I42" i="3" s="1"/>
  <c r="J43" i="3"/>
  <c r="J42" i="3" s="1"/>
  <c r="K43" i="3"/>
  <c r="K42" i="3" s="1"/>
  <c r="G42" i="3"/>
  <c r="I40" i="3"/>
  <c r="J40" i="3"/>
  <c r="K40" i="3"/>
  <c r="I41" i="3"/>
  <c r="J41" i="3"/>
  <c r="K41" i="3"/>
  <c r="G41" i="3"/>
  <c r="G40" i="3"/>
  <c r="G39" i="3" s="1"/>
  <c r="BB6" i="4"/>
  <c r="BC6" i="4"/>
  <c r="AW6" i="4"/>
  <c r="G31" i="3"/>
  <c r="I31" i="3"/>
  <c r="J31" i="3"/>
  <c r="K31" i="3"/>
  <c r="G32" i="3"/>
  <c r="I32" i="3"/>
  <c r="J32" i="3"/>
  <c r="K32" i="3"/>
  <c r="G33" i="3"/>
  <c r="I33" i="3"/>
  <c r="J33" i="3"/>
  <c r="K33" i="3"/>
  <c r="G34" i="3"/>
  <c r="I34" i="3"/>
  <c r="J34" i="3"/>
  <c r="K34" i="3"/>
  <c r="G35" i="3"/>
  <c r="I35" i="3"/>
  <c r="J35" i="3"/>
  <c r="K35" i="3"/>
  <c r="G36" i="3"/>
  <c r="I36" i="3"/>
  <c r="J36" i="3"/>
  <c r="K36" i="3"/>
  <c r="G37" i="3"/>
  <c r="I37" i="3"/>
  <c r="J37" i="3"/>
  <c r="K37" i="3"/>
  <c r="G38" i="3"/>
  <c r="I38" i="3"/>
  <c r="J38" i="3"/>
  <c r="K38" i="3"/>
  <c r="I30" i="3"/>
  <c r="J30" i="3"/>
  <c r="K30" i="3"/>
  <c r="G30" i="3"/>
  <c r="G17" i="3"/>
  <c r="I17" i="3"/>
  <c r="J17" i="3"/>
  <c r="K17" i="3"/>
  <c r="G18" i="3"/>
  <c r="I18" i="3"/>
  <c r="J18" i="3"/>
  <c r="K18" i="3"/>
  <c r="G19" i="3"/>
  <c r="I19" i="3"/>
  <c r="J19" i="3"/>
  <c r="K19" i="3"/>
  <c r="G20" i="3"/>
  <c r="I20" i="3"/>
  <c r="J20" i="3"/>
  <c r="K20" i="3"/>
  <c r="G21" i="3"/>
  <c r="I21" i="3"/>
  <c r="J21" i="3"/>
  <c r="K21" i="3"/>
  <c r="G22" i="3"/>
  <c r="I22" i="3"/>
  <c r="J22" i="3"/>
  <c r="K22" i="3"/>
  <c r="G23" i="3"/>
  <c r="I23" i="3"/>
  <c r="J23" i="3"/>
  <c r="K23" i="3"/>
  <c r="G24" i="3"/>
  <c r="I24" i="3"/>
  <c r="J24" i="3"/>
  <c r="K24" i="3"/>
  <c r="G25" i="3"/>
  <c r="I25" i="3"/>
  <c r="J25" i="3"/>
  <c r="K25" i="3"/>
  <c r="G26" i="3"/>
  <c r="I26" i="3"/>
  <c r="J26" i="3"/>
  <c r="K26" i="3"/>
  <c r="G27" i="3"/>
  <c r="I27" i="3"/>
  <c r="J27" i="3"/>
  <c r="K27" i="3"/>
  <c r="G28" i="3"/>
  <c r="I28" i="3"/>
  <c r="I16" i="3"/>
  <c r="J16" i="3"/>
  <c r="K16" i="3"/>
  <c r="G16" i="3"/>
  <c r="H14" i="3"/>
  <c r="I14" i="3"/>
  <c r="I13" i="3" s="1"/>
  <c r="J14" i="3"/>
  <c r="J13" i="3" s="1"/>
  <c r="K14" i="3"/>
  <c r="K13" i="3" s="1"/>
  <c r="H13" i="3"/>
  <c r="G14" i="3"/>
  <c r="G13" i="3" s="1"/>
  <c r="I10" i="3"/>
  <c r="I11" i="3"/>
  <c r="J11" i="3"/>
  <c r="K11" i="3"/>
  <c r="I12" i="3"/>
  <c r="J12" i="3"/>
  <c r="K12" i="3"/>
  <c r="G11" i="3"/>
  <c r="G12" i="3"/>
  <c r="G10" i="3"/>
  <c r="K6" i="3"/>
  <c r="I8" i="3"/>
  <c r="I7" i="3"/>
  <c r="J6" i="3"/>
  <c r="G8" i="3"/>
  <c r="G7" i="3"/>
  <c r="AO43" i="9"/>
  <c r="AO42" i="9" s="1"/>
  <c r="AO41" i="9"/>
  <c r="AO36" i="9"/>
  <c r="AN36" i="9" s="1"/>
  <c r="AN34" i="9"/>
  <c r="AN30" i="9"/>
  <c r="AN28" i="9"/>
  <c r="AN27" i="9"/>
  <c r="AN26" i="9"/>
  <c r="AN25" i="9"/>
  <c r="AY15" i="9"/>
  <c r="AN23" i="9"/>
  <c r="AN22" i="9"/>
  <c r="AN21" i="9"/>
  <c r="AN20" i="9"/>
  <c r="AN19" i="9"/>
  <c r="AN17" i="9"/>
  <c r="AN16" i="9"/>
  <c r="AN11" i="9"/>
  <c r="AN12" i="9"/>
  <c r="AN10" i="9"/>
  <c r="AN8" i="9"/>
  <c r="AN7" i="9"/>
  <c r="AN38" i="9"/>
  <c r="AN37" i="9"/>
  <c r="AN31" i="9"/>
  <c r="AY42" i="9"/>
  <c r="AX42" i="9"/>
  <c r="AW42" i="9"/>
  <c r="AV42" i="9"/>
  <c r="AU42" i="9"/>
  <c r="AT42" i="9"/>
  <c r="AS42" i="9"/>
  <c r="AR42" i="9"/>
  <c r="AQ42" i="9"/>
  <c r="AP42" i="9"/>
  <c r="AY39" i="9"/>
  <c r="AX39" i="9"/>
  <c r="AW39" i="9"/>
  <c r="AV39" i="9"/>
  <c r="AU39" i="9"/>
  <c r="AT39" i="9"/>
  <c r="AS39" i="9"/>
  <c r="AR39" i="9"/>
  <c r="AQ39" i="9"/>
  <c r="AP39" i="9"/>
  <c r="AN33" i="9"/>
  <c r="AY29" i="9"/>
  <c r="AX29" i="9"/>
  <c r="AW29" i="9"/>
  <c r="AV29" i="9"/>
  <c r="AU29" i="9"/>
  <c r="AT29" i="9"/>
  <c r="AS29" i="9"/>
  <c r="AR29" i="9"/>
  <c r="AQ29" i="9"/>
  <c r="AP29" i="9"/>
  <c r="AN18" i="9"/>
  <c r="AX15" i="9"/>
  <c r="AW15" i="9"/>
  <c r="AT15" i="9"/>
  <c r="AR15" i="9"/>
  <c r="AP15" i="9"/>
  <c r="AN14" i="9"/>
  <c r="AN13" i="9" s="1"/>
  <c r="AY13" i="9"/>
  <c r="AX13" i="9"/>
  <c r="AW13" i="9"/>
  <c r="AV13" i="9"/>
  <c r="AU13" i="9"/>
  <c r="AT13" i="9"/>
  <c r="AS13" i="9"/>
  <c r="AR13" i="9"/>
  <c r="AQ13" i="9"/>
  <c r="AP13" i="9"/>
  <c r="AO13" i="9"/>
  <c r="AY9" i="9"/>
  <c r="AX9" i="9"/>
  <c r="AW9" i="9"/>
  <c r="AV9" i="9"/>
  <c r="AU9" i="9"/>
  <c r="AT9" i="9"/>
  <c r="AS9" i="9"/>
  <c r="AR9" i="9"/>
  <c r="AQ9" i="9"/>
  <c r="AP9" i="9"/>
  <c r="AY6" i="9"/>
  <c r="AX6" i="9"/>
  <c r="AW6" i="9"/>
  <c r="AV6" i="9"/>
  <c r="AU6" i="9"/>
  <c r="AT6" i="9"/>
  <c r="AS6" i="9"/>
  <c r="AR6" i="9"/>
  <c r="AQ6" i="9"/>
  <c r="AP6" i="9"/>
  <c r="AD42" i="9"/>
  <c r="AE42" i="9"/>
  <c r="AF42" i="9"/>
  <c r="AG42" i="9"/>
  <c r="AH42" i="9"/>
  <c r="AI42" i="9"/>
  <c r="AJ42" i="9"/>
  <c r="AK42" i="9"/>
  <c r="AL42" i="9"/>
  <c r="AM42" i="9"/>
  <c r="AC43" i="9"/>
  <c r="AC42" i="9" s="1"/>
  <c r="AC41" i="9"/>
  <c r="AC39" i="9" s="1"/>
  <c r="AC38" i="9"/>
  <c r="AB38" i="9" s="1"/>
  <c r="AC33" i="9"/>
  <c r="AB33" i="9" s="1"/>
  <c r="AC34" i="9"/>
  <c r="AB34" i="9" s="1"/>
  <c r="AC35" i="9"/>
  <c r="AB35" i="9" s="1"/>
  <c r="AC36" i="9"/>
  <c r="AB36" i="9" s="1"/>
  <c r="AC32" i="9"/>
  <c r="AB32" i="9" s="1"/>
  <c r="AC30" i="9"/>
  <c r="AJ28" i="9"/>
  <c r="AB28" i="9" s="1"/>
  <c r="AJ27" i="9"/>
  <c r="AB27" i="9" s="1"/>
  <c r="AC26" i="9"/>
  <c r="AC15" i="9" s="1"/>
  <c r="AJ25" i="9"/>
  <c r="AB25" i="9" s="1"/>
  <c r="AM24" i="9"/>
  <c r="AB24" i="9" s="1"/>
  <c r="AL23" i="9"/>
  <c r="AB23" i="9" s="1"/>
  <c r="AE22" i="9"/>
  <c r="AB22" i="9" s="1"/>
  <c r="AI21" i="9"/>
  <c r="AB21" i="9" s="1"/>
  <c r="AM20" i="9"/>
  <c r="AB20" i="9" s="1"/>
  <c r="AG18" i="9"/>
  <c r="AB18" i="9" s="1"/>
  <c r="AG19" i="9"/>
  <c r="AB19" i="9" s="1"/>
  <c r="AG17" i="9"/>
  <c r="AB17" i="9" s="1"/>
  <c r="AJ16" i="9"/>
  <c r="AB16" i="9" s="1"/>
  <c r="AC11" i="9"/>
  <c r="AB11" i="9" s="1"/>
  <c r="AC12" i="9"/>
  <c r="AB12" i="9" s="1"/>
  <c r="AC10" i="9"/>
  <c r="AB10" i="9" s="1"/>
  <c r="AC8" i="9"/>
  <c r="AB8" i="9" s="1"/>
  <c r="AC7" i="9"/>
  <c r="AB7" i="9" s="1"/>
  <c r="AM39" i="9"/>
  <c r="AL39" i="9"/>
  <c r="AK39" i="9"/>
  <c r="AJ39" i="9"/>
  <c r="AI39" i="9"/>
  <c r="AH39" i="9"/>
  <c r="AG39" i="9"/>
  <c r="AF39" i="9"/>
  <c r="AE39" i="9"/>
  <c r="AD39" i="9"/>
  <c r="AB37" i="9"/>
  <c r="AB31" i="9"/>
  <c r="AM29" i="9"/>
  <c r="AL29" i="9"/>
  <c r="AK29" i="9"/>
  <c r="AJ29" i="9"/>
  <c r="AI29" i="9"/>
  <c r="AH29" i="9"/>
  <c r="AG29" i="9"/>
  <c r="AF29" i="9"/>
  <c r="AE29" i="9"/>
  <c r="AD29" i="9"/>
  <c r="AK15" i="9"/>
  <c r="AH15" i="9"/>
  <c r="AF15" i="9"/>
  <c r="AD15" i="9"/>
  <c r="AB14" i="9"/>
  <c r="AB13" i="9" s="1"/>
  <c r="AM13" i="9"/>
  <c r="AL13" i="9"/>
  <c r="AK13" i="9"/>
  <c r="AJ13" i="9"/>
  <c r="AI13" i="9"/>
  <c r="AH13" i="9"/>
  <c r="AG13" i="9"/>
  <c r="AF13" i="9"/>
  <c r="AE13" i="9"/>
  <c r="AD13" i="9"/>
  <c r="AC13" i="9"/>
  <c r="AM9" i="9"/>
  <c r="AL9" i="9"/>
  <c r="AK9" i="9"/>
  <c r="AJ9" i="9"/>
  <c r="AI9" i="9"/>
  <c r="AH9" i="9"/>
  <c r="AG9" i="9"/>
  <c r="AF9" i="9"/>
  <c r="AE9" i="9"/>
  <c r="AD9" i="9"/>
  <c r="AM6" i="9"/>
  <c r="AL6" i="9"/>
  <c r="AK6" i="9"/>
  <c r="AJ6" i="9"/>
  <c r="AI6" i="9"/>
  <c r="AH6" i="9"/>
  <c r="AG6" i="9"/>
  <c r="AF6" i="9"/>
  <c r="AE6" i="9"/>
  <c r="AD6" i="9"/>
  <c r="P40" i="9"/>
  <c r="P37" i="9"/>
  <c r="AA39" i="9"/>
  <c r="Z39" i="9"/>
  <c r="Y39" i="9"/>
  <c r="X39" i="9"/>
  <c r="W39" i="9"/>
  <c r="V39" i="9"/>
  <c r="U39" i="9"/>
  <c r="T39" i="9"/>
  <c r="S39" i="9"/>
  <c r="AA29" i="9"/>
  <c r="Z29" i="9"/>
  <c r="Y29" i="9"/>
  <c r="X29" i="9"/>
  <c r="W29" i="9"/>
  <c r="V29" i="9"/>
  <c r="U29" i="9"/>
  <c r="T29" i="9"/>
  <c r="S29" i="9"/>
  <c r="R29" i="9"/>
  <c r="Y15" i="9"/>
  <c r="V15" i="9"/>
  <c r="T15" i="9"/>
  <c r="R15" i="9"/>
  <c r="P14" i="9"/>
  <c r="AA13" i="9"/>
  <c r="Z13" i="9"/>
  <c r="Y13" i="9"/>
  <c r="X13" i="9"/>
  <c r="W13" i="9"/>
  <c r="V13" i="9"/>
  <c r="U13" i="9"/>
  <c r="T13" i="9"/>
  <c r="S13" i="9"/>
  <c r="R13" i="9"/>
  <c r="Q13" i="9"/>
  <c r="P13" i="9"/>
  <c r="AA9" i="9"/>
  <c r="Z9" i="9"/>
  <c r="Y9" i="9"/>
  <c r="X9" i="9"/>
  <c r="W9" i="9"/>
  <c r="V9" i="9"/>
  <c r="U9" i="9"/>
  <c r="T9" i="9"/>
  <c r="S9" i="9"/>
  <c r="R9" i="9"/>
  <c r="AA6" i="9"/>
  <c r="Z6" i="9"/>
  <c r="Y6" i="9"/>
  <c r="X6" i="9"/>
  <c r="W6" i="9"/>
  <c r="V6" i="9"/>
  <c r="U6" i="9"/>
  <c r="T6" i="9"/>
  <c r="S6" i="9"/>
  <c r="R6" i="9"/>
  <c r="D37" i="9"/>
  <c r="D31" i="9"/>
  <c r="G6" i="3" l="1"/>
  <c r="K39" i="3"/>
  <c r="J9" i="3"/>
  <c r="G9" i="3"/>
  <c r="AB26" i="9"/>
  <c r="AB15" i="9" s="1"/>
  <c r="G15" i="3"/>
  <c r="G29" i="3"/>
  <c r="J39" i="3"/>
  <c r="I6" i="3"/>
  <c r="I39" i="3"/>
  <c r="K29" i="3"/>
  <c r="J15" i="3"/>
  <c r="N13" i="3"/>
  <c r="I17" i="10" s="1"/>
  <c r="F17" i="10"/>
  <c r="F9" i="10" s="1"/>
  <c r="E8" i="14" s="1"/>
  <c r="E17" i="10"/>
  <c r="E9" i="10" s="1"/>
  <c r="D8" i="14" s="1"/>
  <c r="M13" i="3"/>
  <c r="H17" i="10" s="1"/>
  <c r="L13" i="3"/>
  <c r="G17" i="10" s="1"/>
  <c r="D17" i="10"/>
  <c r="D9" i="10" s="1"/>
  <c r="C8" i="14" s="1"/>
  <c r="AN43" i="9"/>
  <c r="AN42" i="9" s="1"/>
  <c r="AC6" i="9"/>
  <c r="AD5" i="9"/>
  <c r="AB41" i="9"/>
  <c r="AB39" i="9" s="1"/>
  <c r="AB43" i="9"/>
  <c r="AB42" i="9" s="1"/>
  <c r="AO39" i="9"/>
  <c r="AH5" i="9"/>
  <c r="AW5" i="9"/>
  <c r="AK5" i="9"/>
  <c r="AI15" i="9"/>
  <c r="AI5" i="9" s="1"/>
  <c r="AT5" i="9"/>
  <c r="AP5" i="9"/>
  <c r="AR5" i="9"/>
  <c r="AX5" i="9"/>
  <c r="AY5" i="9"/>
  <c r="AF5" i="9"/>
  <c r="K9" i="3"/>
  <c r="I9" i="3"/>
  <c r="J29" i="3"/>
  <c r="AB6" i="9"/>
  <c r="I29" i="3"/>
  <c r="AQ15" i="9"/>
  <c r="AQ5" i="9" s="1"/>
  <c r="K15" i="3"/>
  <c r="AU15" i="9"/>
  <c r="AU5" i="9" s="1"/>
  <c r="I15" i="3"/>
  <c r="N42" i="3"/>
  <c r="AN41" i="9"/>
  <c r="AN39" i="9" s="1"/>
  <c r="AO15" i="9"/>
  <c r="AN24" i="9"/>
  <c r="AN15" i="9" s="1"/>
  <c r="AS15" i="9"/>
  <c r="AS5" i="9" s="1"/>
  <c r="AO29" i="9"/>
  <c r="AV15" i="9"/>
  <c r="AV5" i="9" s="1"/>
  <c r="AN9" i="9"/>
  <c r="AN6" i="9"/>
  <c r="AN32" i="9"/>
  <c r="AN29" i="9" s="1"/>
  <c r="AO6" i="9"/>
  <c r="AO9" i="9"/>
  <c r="AC29" i="9"/>
  <c r="AB30" i="9"/>
  <c r="AB29" i="9" s="1"/>
  <c r="AE15" i="9"/>
  <c r="AE5" i="9" s="1"/>
  <c r="AM15" i="9"/>
  <c r="AM5" i="9" s="1"/>
  <c r="AB9" i="9"/>
  <c r="AC9" i="9"/>
  <c r="AJ15" i="9"/>
  <c r="AJ5" i="9" s="1"/>
  <c r="AG15" i="9"/>
  <c r="AG5" i="9" s="1"/>
  <c r="AL15" i="9"/>
  <c r="AL5" i="9" s="1"/>
  <c r="R39" i="9"/>
  <c r="R5" i="9" s="1"/>
  <c r="Y5" i="9"/>
  <c r="V5" i="9"/>
  <c r="T5" i="9"/>
  <c r="G5" i="3" l="1"/>
  <c r="I5" i="3"/>
  <c r="J5" i="3"/>
  <c r="K5" i="3"/>
  <c r="AB5" i="9"/>
  <c r="AN5" i="9"/>
  <c r="AO5" i="9"/>
  <c r="AC5" i="9"/>
  <c r="F39" i="9" l="1"/>
  <c r="G39" i="9"/>
  <c r="H39" i="9"/>
  <c r="I39" i="9"/>
  <c r="J39" i="9"/>
  <c r="K39" i="9"/>
  <c r="L39" i="9"/>
  <c r="M39" i="9"/>
  <c r="N39" i="9"/>
  <c r="O39" i="9"/>
  <c r="F29" i="9"/>
  <c r="G29" i="9"/>
  <c r="H29" i="9"/>
  <c r="I29" i="9"/>
  <c r="J29" i="9"/>
  <c r="K29" i="9"/>
  <c r="L29" i="9"/>
  <c r="M29" i="9"/>
  <c r="N29" i="9"/>
  <c r="O29" i="9"/>
  <c r="F15" i="9"/>
  <c r="H15" i="9"/>
  <c r="J15" i="9"/>
  <c r="M15" i="9"/>
  <c r="O13" i="9"/>
  <c r="E13" i="9"/>
  <c r="F13" i="9"/>
  <c r="G13" i="9"/>
  <c r="H13" i="9"/>
  <c r="I13" i="9"/>
  <c r="J13" i="9"/>
  <c r="K13" i="9"/>
  <c r="L13" i="9"/>
  <c r="M13" i="9"/>
  <c r="N13" i="9"/>
  <c r="F9" i="9"/>
  <c r="G9" i="9"/>
  <c r="H9" i="9"/>
  <c r="I9" i="9"/>
  <c r="J9" i="9"/>
  <c r="K9" i="9"/>
  <c r="L9" i="9"/>
  <c r="M9" i="9"/>
  <c r="N9" i="9"/>
  <c r="O9" i="9"/>
  <c r="F6" i="9"/>
  <c r="G6" i="9"/>
  <c r="H6" i="9"/>
  <c r="I6" i="9"/>
  <c r="J6" i="9"/>
  <c r="K6" i="9"/>
  <c r="L6" i="9"/>
  <c r="M6" i="9"/>
  <c r="N6" i="9"/>
  <c r="O6" i="9"/>
  <c r="E41" i="9"/>
  <c r="D41" i="9" s="1"/>
  <c r="E38" i="9"/>
  <c r="D38" i="9" s="1"/>
  <c r="E36" i="9"/>
  <c r="D36" i="9" s="1"/>
  <c r="E32" i="9"/>
  <c r="D32" i="9" s="1"/>
  <c r="E33" i="9"/>
  <c r="D33" i="9" s="1"/>
  <c r="E34" i="9"/>
  <c r="D34" i="9" s="1"/>
  <c r="E35" i="9"/>
  <c r="D35" i="9" s="1"/>
  <c r="E30" i="9"/>
  <c r="L28" i="9"/>
  <c r="D28" i="9" s="1"/>
  <c r="E26" i="9"/>
  <c r="E15" i="9" s="1"/>
  <c r="L25" i="9"/>
  <c r="D25" i="9" s="1"/>
  <c r="O24" i="9"/>
  <c r="D24" i="9" s="1"/>
  <c r="N23" i="9"/>
  <c r="N15" i="9" s="1"/>
  <c r="G22" i="9"/>
  <c r="D22" i="9" s="1"/>
  <c r="K21" i="9"/>
  <c r="D21" i="9" s="1"/>
  <c r="O20" i="9"/>
  <c r="O15" i="9" s="1"/>
  <c r="I19" i="9"/>
  <c r="D19" i="9" s="1"/>
  <c r="I18" i="9"/>
  <c r="D18" i="9" s="1"/>
  <c r="I17" i="9"/>
  <c r="L16" i="9"/>
  <c r="D16" i="9" s="1"/>
  <c r="E11" i="9"/>
  <c r="D11" i="9" s="1"/>
  <c r="E12" i="9"/>
  <c r="E10" i="9"/>
  <c r="D10" i="9" s="1"/>
  <c r="E8" i="9"/>
  <c r="D8" i="9" s="1"/>
  <c r="E7" i="9"/>
  <c r="D40" i="9"/>
  <c r="D17" i="9"/>
  <c r="D14" i="9"/>
  <c r="D13" i="9" s="1"/>
  <c r="D20" i="9" l="1"/>
  <c r="E6" i="9"/>
  <c r="D26" i="9"/>
  <c r="D7" i="9"/>
  <c r="D6" i="9" s="1"/>
  <c r="D39" i="9"/>
  <c r="G15" i="9"/>
  <c r="G5" i="9" s="1"/>
  <c r="E9" i="9"/>
  <c r="I15" i="9"/>
  <c r="I5" i="9" s="1"/>
  <c r="E29" i="9"/>
  <c r="F5" i="9"/>
  <c r="K15" i="9"/>
  <c r="K5" i="9" s="1"/>
  <c r="E39" i="9"/>
  <c r="D23" i="9"/>
  <c r="D12" i="9"/>
  <c r="D9" i="9" s="1"/>
  <c r="L15" i="9"/>
  <c r="L5" i="9" s="1"/>
  <c r="J5" i="9"/>
  <c r="N5" i="9"/>
  <c r="M5" i="9"/>
  <c r="D30" i="9"/>
  <c r="D29" i="9" s="1"/>
  <c r="O5" i="9"/>
  <c r="H5" i="9"/>
  <c r="D15" i="9" l="1"/>
  <c r="D5" i="9" s="1"/>
  <c r="E5" i="9"/>
  <c r="BY44" i="4"/>
  <c r="BY43" i="4" s="1"/>
  <c r="BY42" i="4"/>
  <c r="BY40" i="4" s="1"/>
  <c r="BX41" i="4"/>
  <c r="BW41" i="4" s="1"/>
  <c r="CD39" i="4"/>
  <c r="BW39" i="4" s="1"/>
  <c r="CE38" i="4"/>
  <c r="BW38" i="4" s="1"/>
  <c r="CH37" i="4"/>
  <c r="BW37" i="4" s="1"/>
  <c r="CJ36" i="4"/>
  <c r="BW36" i="4" s="1"/>
  <c r="BX35" i="4"/>
  <c r="CN33" i="4"/>
  <c r="CN30" i="4" s="1"/>
  <c r="BW31" i="4"/>
  <c r="BX32" i="4"/>
  <c r="BW32" i="4" s="1"/>
  <c r="CB28" i="4"/>
  <c r="BW28" i="4" s="1"/>
  <c r="CB27" i="4"/>
  <c r="BW27" i="4" s="1"/>
  <c r="BX21" i="4"/>
  <c r="BW21" i="4" s="1"/>
  <c r="BX22" i="4"/>
  <c r="BW22" i="4" s="1"/>
  <c r="BX23" i="4"/>
  <c r="BX24" i="4"/>
  <c r="BW24" i="4" s="1"/>
  <c r="BX25" i="4"/>
  <c r="BW25" i="4" s="1"/>
  <c r="BX26" i="4"/>
  <c r="BW26" i="4" s="1"/>
  <c r="BX20" i="4"/>
  <c r="BW20" i="4" s="1"/>
  <c r="CA19" i="4"/>
  <c r="BW19" i="4" s="1"/>
  <c r="CA18" i="4"/>
  <c r="BW18" i="4" s="1"/>
  <c r="BW12" i="4"/>
  <c r="BW13" i="4"/>
  <c r="BW11" i="4"/>
  <c r="BX9" i="4"/>
  <c r="BW9" i="4" s="1"/>
  <c r="BX8" i="4"/>
  <c r="BW8" i="4" s="1"/>
  <c r="BX44" i="4"/>
  <c r="CN43" i="4"/>
  <c r="CM43" i="4"/>
  <c r="CL43" i="4"/>
  <c r="CK43" i="4"/>
  <c r="CJ43" i="4"/>
  <c r="CI43" i="4"/>
  <c r="CH43" i="4"/>
  <c r="CF43" i="4"/>
  <c r="CE43" i="4"/>
  <c r="CD43" i="4"/>
  <c r="CC43" i="4"/>
  <c r="CB43" i="4"/>
  <c r="CA43" i="4"/>
  <c r="BZ43" i="4"/>
  <c r="CN40" i="4"/>
  <c r="CM40" i="4"/>
  <c r="CL40" i="4"/>
  <c r="CK40" i="4"/>
  <c r="CJ40" i="4"/>
  <c r="CI40" i="4"/>
  <c r="CH40" i="4"/>
  <c r="CF40" i="4"/>
  <c r="CE40" i="4"/>
  <c r="CD40" i="4"/>
  <c r="CC40" i="4"/>
  <c r="CB40" i="4"/>
  <c r="CA40" i="4"/>
  <c r="BZ40" i="4"/>
  <c r="BW35" i="4"/>
  <c r="BW34" i="4"/>
  <c r="CM30" i="4"/>
  <c r="CL30" i="4"/>
  <c r="CK30" i="4"/>
  <c r="CI30" i="4"/>
  <c r="CF30" i="4"/>
  <c r="CC30" i="4"/>
  <c r="CB30" i="4"/>
  <c r="CA30" i="4"/>
  <c r="BZ30" i="4"/>
  <c r="BY30" i="4"/>
  <c r="BW29" i="4"/>
  <c r="BW23" i="4"/>
  <c r="CA17" i="4"/>
  <c r="BW17" i="4" s="1"/>
  <c r="CN16" i="4"/>
  <c r="CM16" i="4"/>
  <c r="CL16" i="4"/>
  <c r="CK16" i="4"/>
  <c r="CJ16" i="4"/>
  <c r="CI16" i="4"/>
  <c r="CH16" i="4"/>
  <c r="CF16" i="4"/>
  <c r="CF6" i="4" s="1"/>
  <c r="CE16" i="4"/>
  <c r="CD16" i="4"/>
  <c r="CC16" i="4"/>
  <c r="BZ16" i="4"/>
  <c r="BY16" i="4"/>
  <c r="BW15" i="4"/>
  <c r="BW14" i="4" s="1"/>
  <c r="CN14" i="4"/>
  <c r="CM14" i="4"/>
  <c r="CL14" i="4"/>
  <c r="CK14" i="4"/>
  <c r="CJ14" i="4"/>
  <c r="CI14" i="4"/>
  <c r="CH14" i="4"/>
  <c r="CF14" i="4"/>
  <c r="CE14" i="4"/>
  <c r="CD14" i="4"/>
  <c r="CC14" i="4"/>
  <c r="CB14" i="4"/>
  <c r="CA14" i="4"/>
  <c r="BZ14" i="4"/>
  <c r="BY14" i="4"/>
  <c r="BX14" i="4"/>
  <c r="CK10" i="4"/>
  <c r="CK7" i="4" s="1"/>
  <c r="CK6" i="4" s="1"/>
  <c r="CJ10" i="4"/>
  <c r="CJ7" i="4" s="1"/>
  <c r="CN7" i="4"/>
  <c r="CM7" i="4"/>
  <c r="CM6" i="4" s="1"/>
  <c r="CL7" i="4"/>
  <c r="CI7" i="4"/>
  <c r="CH7" i="4"/>
  <c r="CF7" i="4"/>
  <c r="CE7" i="4"/>
  <c r="CD7" i="4"/>
  <c r="CC7" i="4"/>
  <c r="CB7" i="4"/>
  <c r="CA7" i="4"/>
  <c r="BZ7" i="4"/>
  <c r="BZ6" i="4" s="1"/>
  <c r="BY7" i="4"/>
  <c r="BG44" i="4"/>
  <c r="BG43" i="4" s="1"/>
  <c r="BG42" i="4"/>
  <c r="BE42" i="4" s="1"/>
  <c r="BF41" i="4"/>
  <c r="BF40" i="4" s="1"/>
  <c r="BP37" i="4"/>
  <c r="BP30" i="4" s="1"/>
  <c r="BV33" i="4"/>
  <c r="BE33" i="4" s="1"/>
  <c r="BE31" i="4"/>
  <c r="BL39" i="4"/>
  <c r="BL30" i="4" s="1"/>
  <c r="BM38" i="4"/>
  <c r="BM30" i="4" s="1"/>
  <c r="BR36" i="4"/>
  <c r="BR30" i="4" s="1"/>
  <c r="BF35" i="4"/>
  <c r="BE35" i="4" s="1"/>
  <c r="BF32" i="4"/>
  <c r="BJ28" i="4"/>
  <c r="BJ27" i="4"/>
  <c r="BE27" i="4" s="1"/>
  <c r="BF21" i="4"/>
  <c r="BF22" i="4"/>
  <c r="BF23" i="4"/>
  <c r="BE23" i="4" s="1"/>
  <c r="BF24" i="4"/>
  <c r="BE24" i="4" s="1"/>
  <c r="BF25" i="4"/>
  <c r="BE25" i="4" s="1"/>
  <c r="BF26" i="4"/>
  <c r="BE26" i="4" s="1"/>
  <c r="BF20" i="4"/>
  <c r="BE20" i="4" s="1"/>
  <c r="BI18" i="4"/>
  <c r="BE18" i="4" s="1"/>
  <c r="BI19" i="4"/>
  <c r="BE19" i="4" s="1"/>
  <c r="BI17" i="4"/>
  <c r="BE17" i="4" s="1"/>
  <c r="BE12" i="4"/>
  <c r="BE13" i="4"/>
  <c r="BE11" i="4"/>
  <c r="BF9" i="4"/>
  <c r="BE9" i="4" s="1"/>
  <c r="BF8" i="4"/>
  <c r="BE8" i="4" s="1"/>
  <c r="BF44" i="4"/>
  <c r="BF43" i="4" s="1"/>
  <c r="BV43" i="4"/>
  <c r="BU43" i="4"/>
  <c r="BT43" i="4"/>
  <c r="BS43" i="4"/>
  <c r="BR43" i="4"/>
  <c r="BQ43" i="4"/>
  <c r="BP43" i="4"/>
  <c r="BN43" i="4"/>
  <c r="BM43" i="4"/>
  <c r="BL43" i="4"/>
  <c r="BK43" i="4"/>
  <c r="BJ43" i="4"/>
  <c r="BI43" i="4"/>
  <c r="BH43" i="4"/>
  <c r="BV40" i="4"/>
  <c r="BU40" i="4"/>
  <c r="BT40" i="4"/>
  <c r="BS40" i="4"/>
  <c r="BR40" i="4"/>
  <c r="BQ40" i="4"/>
  <c r="BP40" i="4"/>
  <c r="BN40" i="4"/>
  <c r="BM40" i="4"/>
  <c r="BL40" i="4"/>
  <c r="BK40" i="4"/>
  <c r="BJ40" i="4"/>
  <c r="BI40" i="4"/>
  <c r="BH40" i="4"/>
  <c r="BE34" i="4"/>
  <c r="BU30" i="4"/>
  <c r="BT30" i="4"/>
  <c r="BS30" i="4"/>
  <c r="BQ30" i="4"/>
  <c r="BN30" i="4"/>
  <c r="BK30" i="4"/>
  <c r="BJ30" i="4"/>
  <c r="BI30" i="4"/>
  <c r="BH30" i="4"/>
  <c r="BG30" i="4"/>
  <c r="BE29" i="4"/>
  <c r="BV16" i="4"/>
  <c r="BU16" i="4"/>
  <c r="BT16" i="4"/>
  <c r="BS16" i="4"/>
  <c r="BR16" i="4"/>
  <c r="BQ16" i="4"/>
  <c r="BP16" i="4"/>
  <c r="BN16" i="4"/>
  <c r="BM16" i="4"/>
  <c r="BL16" i="4"/>
  <c r="BK16" i="4"/>
  <c r="BH16" i="4"/>
  <c r="BH6" i="4" s="1"/>
  <c r="BG16" i="4"/>
  <c r="BE15" i="4"/>
  <c r="BE14" i="4" s="1"/>
  <c r="BV14" i="4"/>
  <c r="BU14" i="4"/>
  <c r="BT14" i="4"/>
  <c r="BS14" i="4"/>
  <c r="BR14" i="4"/>
  <c r="BQ14" i="4"/>
  <c r="BP14" i="4"/>
  <c r="BN14" i="4"/>
  <c r="BM14" i="4"/>
  <c r="BL14" i="4"/>
  <c r="BK14" i="4"/>
  <c r="BJ14" i="4"/>
  <c r="BI14" i="4"/>
  <c r="BH14" i="4"/>
  <c r="BG14" i="4"/>
  <c r="BF14" i="4"/>
  <c r="BS10" i="4"/>
  <c r="BR10" i="4"/>
  <c r="BR7" i="4" s="1"/>
  <c r="BV7" i="4"/>
  <c r="BU7" i="4"/>
  <c r="BT7" i="4"/>
  <c r="BS7" i="4"/>
  <c r="BQ7" i="4"/>
  <c r="BP7" i="4"/>
  <c r="BN7" i="4"/>
  <c r="BM7" i="4"/>
  <c r="BL7" i="4"/>
  <c r="BK7" i="4"/>
  <c r="BK6" i="4" s="1"/>
  <c r="BJ7" i="4"/>
  <c r="BI7" i="4"/>
  <c r="BH7" i="4"/>
  <c r="BG7" i="4"/>
  <c r="BT6" i="4"/>
  <c r="AO42" i="4"/>
  <c r="AN41" i="4"/>
  <c r="AN35" i="4"/>
  <c r="AN32" i="4"/>
  <c r="AM31" i="4"/>
  <c r="AR28" i="4"/>
  <c r="AQ27" i="4"/>
  <c r="AN21" i="4"/>
  <c r="AN22" i="4"/>
  <c r="AN23" i="4"/>
  <c r="AN24" i="4"/>
  <c r="AN25" i="4"/>
  <c r="AN26" i="4"/>
  <c r="AQ19" i="4"/>
  <c r="AM12" i="4"/>
  <c r="AM13" i="4"/>
  <c r="AM11" i="4"/>
  <c r="AN9" i="4"/>
  <c r="AN8" i="4"/>
  <c r="AQ17" i="4"/>
  <c r="AQ18" i="4"/>
  <c r="BW33" i="4" l="1"/>
  <c r="BE39" i="4"/>
  <c r="CJ30" i="4"/>
  <c r="CJ6" i="4" s="1"/>
  <c r="BW42" i="4"/>
  <c r="BW40" i="4" s="1"/>
  <c r="BW44" i="4"/>
  <c r="BW43" i="4" s="1"/>
  <c r="BF30" i="4"/>
  <c r="BJ16" i="4"/>
  <c r="BJ6" i="4" s="1"/>
  <c r="BW10" i="4"/>
  <c r="BE41" i="4"/>
  <c r="BE40" i="4" s="1"/>
  <c r="BN6" i="4"/>
  <c r="CI6" i="4"/>
  <c r="CN6" i="4"/>
  <c r="BL6" i="4"/>
  <c r="BQ6" i="4"/>
  <c r="BU6" i="4"/>
  <c r="CC6" i="4"/>
  <c r="CL6" i="4"/>
  <c r="BS6" i="4"/>
  <c r="BY6" i="4"/>
  <c r="CE30" i="4"/>
  <c r="CE6" i="4" s="1"/>
  <c r="BW30" i="4"/>
  <c r="BW7" i="4"/>
  <c r="BX7" i="4"/>
  <c r="BW16" i="4"/>
  <c r="CA16" i="4"/>
  <c r="CA6" i="4" s="1"/>
  <c r="CH30" i="4"/>
  <c r="CH6" i="4" s="1"/>
  <c r="BX40" i="4"/>
  <c r="BX30" i="4"/>
  <c r="BX16" i="4"/>
  <c r="CB16" i="4"/>
  <c r="CB6" i="4" s="1"/>
  <c r="CD30" i="4"/>
  <c r="CD6" i="4" s="1"/>
  <c r="BX43" i="4"/>
  <c r="BE10" i="4"/>
  <c r="BE28" i="4"/>
  <c r="BE37" i="4"/>
  <c r="BE32" i="4"/>
  <c r="BP6" i="4"/>
  <c r="BF16" i="4"/>
  <c r="BE7" i="4"/>
  <c r="BE22" i="4"/>
  <c r="BE21" i="4"/>
  <c r="BE36" i="4"/>
  <c r="BE38" i="4"/>
  <c r="BM6" i="4"/>
  <c r="BR6" i="4"/>
  <c r="BI16" i="4"/>
  <c r="BI6" i="4" s="1"/>
  <c r="BF7" i="4"/>
  <c r="BG40" i="4"/>
  <c r="BG6" i="4" s="1"/>
  <c r="BE44" i="4"/>
  <c r="BE43" i="4" s="1"/>
  <c r="BV30" i="4"/>
  <c r="BV6" i="4" s="1"/>
  <c r="I47" i="5"/>
  <c r="J47" i="5"/>
  <c r="H47" i="5"/>
  <c r="G47" i="5"/>
  <c r="F47" i="5"/>
  <c r="J44" i="5"/>
  <c r="H20" i="5"/>
  <c r="I20" i="5"/>
  <c r="J20" i="5"/>
  <c r="H18" i="5"/>
  <c r="I18" i="5"/>
  <c r="J18" i="5"/>
  <c r="H14" i="5"/>
  <c r="I14" i="5"/>
  <c r="J14" i="5"/>
  <c r="H11" i="5"/>
  <c r="I11" i="5"/>
  <c r="J11" i="5"/>
  <c r="H7" i="5"/>
  <c r="K48" i="5"/>
  <c r="K47" i="5" s="1"/>
  <c r="M48" i="5"/>
  <c r="M47" i="5" s="1"/>
  <c r="L48" i="5"/>
  <c r="L47" i="5" s="1"/>
  <c r="AN44" i="4"/>
  <c r="M19" i="5"/>
  <c r="M18" i="5" s="1"/>
  <c r="L19" i="5"/>
  <c r="L18" i="5" s="1"/>
  <c r="K19" i="5"/>
  <c r="K18" i="5" s="1"/>
  <c r="H44" i="5"/>
  <c r="I44" i="5"/>
  <c r="BE16" i="4" l="1"/>
  <c r="BW6" i="4"/>
  <c r="BX6" i="4"/>
  <c r="BE30" i="4"/>
  <c r="BF6" i="4"/>
  <c r="I34" i="5"/>
  <c r="J34" i="5"/>
  <c r="BE6" i="4" l="1"/>
  <c r="AT39" i="4"/>
  <c r="AU38" i="4"/>
  <c r="AZ36" i="4"/>
  <c r="BD33" i="4"/>
  <c r="H8" i="5" l="1"/>
  <c r="H10" i="5"/>
  <c r="H6" i="5" l="1"/>
  <c r="H9" i="5" s="1"/>
  <c r="AM44" i="4"/>
  <c r="AM43" i="4" s="1"/>
  <c r="BD43" i="4"/>
  <c r="BC43" i="4"/>
  <c r="BB43" i="4"/>
  <c r="BA43" i="4"/>
  <c r="AZ43" i="4"/>
  <c r="AY43" i="4"/>
  <c r="AX43" i="4"/>
  <c r="AV43" i="4"/>
  <c r="AU43" i="4"/>
  <c r="AT43" i="4"/>
  <c r="AS43" i="4"/>
  <c r="AR43" i="4"/>
  <c r="AQ43" i="4"/>
  <c r="AP43" i="4"/>
  <c r="AN43" i="4"/>
  <c r="AM42" i="4"/>
  <c r="AM41" i="4"/>
  <c r="BD40" i="4"/>
  <c r="BC40" i="4"/>
  <c r="BB40" i="4"/>
  <c r="BA40" i="4"/>
  <c r="AZ40" i="4"/>
  <c r="AY40" i="4"/>
  <c r="AX40" i="4"/>
  <c r="AV40" i="4"/>
  <c r="AU40" i="4"/>
  <c r="AT40" i="4"/>
  <c r="AS40" i="4"/>
  <c r="AR40" i="4"/>
  <c r="AQ40" i="4"/>
  <c r="AP40" i="4"/>
  <c r="AN40" i="4"/>
  <c r="AM39" i="4"/>
  <c r="AM38" i="4"/>
  <c r="AX37" i="4"/>
  <c r="AM37" i="4" s="1"/>
  <c r="AM36" i="4"/>
  <c r="AM35" i="4"/>
  <c r="AM34" i="4"/>
  <c r="AM33" i="4"/>
  <c r="AM32" i="4"/>
  <c r="BD30" i="4"/>
  <c r="BD6" i="4" s="1"/>
  <c r="BC30" i="4"/>
  <c r="BB30" i="4"/>
  <c r="BA30" i="4"/>
  <c r="AY30" i="4"/>
  <c r="AV30" i="4"/>
  <c r="AS30" i="4"/>
  <c r="AR30" i="4"/>
  <c r="AQ30" i="4"/>
  <c r="AP30" i="4"/>
  <c r="AO30" i="4"/>
  <c r="AN30" i="4"/>
  <c r="AM29" i="4"/>
  <c r="AM28" i="4"/>
  <c r="AR27" i="4"/>
  <c r="AM27" i="4" s="1"/>
  <c r="AM26" i="4"/>
  <c r="AM25" i="4"/>
  <c r="AM24" i="4"/>
  <c r="AM23" i="4"/>
  <c r="AM22" i="4"/>
  <c r="AM21" i="4"/>
  <c r="AM20" i="4"/>
  <c r="AM19" i="4"/>
  <c r="AM18" i="4"/>
  <c r="AM17" i="4"/>
  <c r="BD16" i="4"/>
  <c r="BC16" i="4"/>
  <c r="BB16" i="4"/>
  <c r="BA16" i="4"/>
  <c r="BA6" i="4" s="1"/>
  <c r="AZ16" i="4"/>
  <c r="AY16" i="4"/>
  <c r="AY6" i="4" s="1"/>
  <c r="AX16" i="4"/>
  <c r="AV16" i="4"/>
  <c r="AU16" i="4"/>
  <c r="AT16" i="4"/>
  <c r="AS16" i="4"/>
  <c r="AP16" i="4"/>
  <c r="AO16" i="4"/>
  <c r="AM15" i="4"/>
  <c r="AM14" i="4" s="1"/>
  <c r="BD14" i="4"/>
  <c r="BC14" i="4"/>
  <c r="BB14" i="4"/>
  <c r="BA14" i="4"/>
  <c r="AZ14" i="4"/>
  <c r="AY14" i="4"/>
  <c r="AX14" i="4"/>
  <c r="AV14" i="4"/>
  <c r="AU14" i="4"/>
  <c r="AT14" i="4"/>
  <c r="AS14" i="4"/>
  <c r="AR14" i="4"/>
  <c r="AQ14" i="4"/>
  <c r="AP14" i="4"/>
  <c r="AO14" i="4"/>
  <c r="AN14" i="4"/>
  <c r="BA10" i="4"/>
  <c r="BA7" i="4" s="1"/>
  <c r="AZ10" i="4"/>
  <c r="AM9" i="4"/>
  <c r="AM8" i="4"/>
  <c r="BD7" i="4"/>
  <c r="BC7" i="4"/>
  <c r="BB7" i="4"/>
  <c r="AZ7" i="4"/>
  <c r="AY7" i="4"/>
  <c r="AX7" i="4"/>
  <c r="AV7" i="4"/>
  <c r="AU7" i="4"/>
  <c r="AT7" i="4"/>
  <c r="AS7" i="4"/>
  <c r="AR7" i="4"/>
  <c r="AQ7" i="4"/>
  <c r="AP7" i="4"/>
  <c r="AO7" i="4"/>
  <c r="Y43" i="4"/>
  <c r="Z43" i="4"/>
  <c r="AA43" i="4"/>
  <c r="AB43" i="4"/>
  <c r="AC43" i="4"/>
  <c r="AD43" i="4"/>
  <c r="AE43" i="4"/>
  <c r="AF43" i="4"/>
  <c r="AG43" i="4"/>
  <c r="AH43" i="4"/>
  <c r="AI43" i="4"/>
  <c r="AJ43" i="4"/>
  <c r="AK43" i="4"/>
  <c r="AL43" i="4"/>
  <c r="W43" i="4"/>
  <c r="U43" i="4"/>
  <c r="E43" i="4"/>
  <c r="F43" i="4"/>
  <c r="G43" i="4"/>
  <c r="H43" i="4"/>
  <c r="I43" i="4"/>
  <c r="J43" i="4"/>
  <c r="K43" i="4"/>
  <c r="L43" i="4"/>
  <c r="M43" i="4"/>
  <c r="N43" i="4"/>
  <c r="O43" i="4"/>
  <c r="P43" i="4"/>
  <c r="Q43" i="4"/>
  <c r="R43" i="4"/>
  <c r="S43" i="4"/>
  <c r="T43" i="4"/>
  <c r="D44" i="4"/>
  <c r="D43" i="4" s="1"/>
  <c r="X44" i="4"/>
  <c r="X43" i="4" s="1"/>
  <c r="W14" i="4"/>
  <c r="X14" i="4"/>
  <c r="Y14" i="4"/>
  <c r="Z14" i="4"/>
  <c r="AA14" i="4"/>
  <c r="AB14" i="4"/>
  <c r="AC14" i="4"/>
  <c r="AD14" i="4"/>
  <c r="AE14" i="4"/>
  <c r="AF14" i="4"/>
  <c r="AG14" i="4"/>
  <c r="AH14" i="4"/>
  <c r="AI14" i="4"/>
  <c r="AJ14" i="4"/>
  <c r="AK14" i="4"/>
  <c r="AL14" i="4"/>
  <c r="X16" i="4"/>
  <c r="Y16" i="4"/>
  <c r="AB16" i="4"/>
  <c r="AC16" i="4"/>
  <c r="AD16" i="4"/>
  <c r="AE16" i="4"/>
  <c r="AF16" i="4"/>
  <c r="AG16" i="4"/>
  <c r="AH16" i="4"/>
  <c r="AI16" i="4"/>
  <c r="AJ16" i="4"/>
  <c r="AK16" i="4"/>
  <c r="AL16" i="4"/>
  <c r="X30" i="4"/>
  <c r="Y30" i="4"/>
  <c r="Z30" i="4"/>
  <c r="AA30" i="4"/>
  <c r="AB30" i="4"/>
  <c r="AE30" i="4"/>
  <c r="AG30" i="4"/>
  <c r="AI30" i="4"/>
  <c r="AJ30" i="4"/>
  <c r="AK30" i="4"/>
  <c r="AL30" i="4"/>
  <c r="Y40" i="4"/>
  <c r="Z40" i="4"/>
  <c r="AA40" i="4"/>
  <c r="AB40" i="4"/>
  <c r="AC40" i="4"/>
  <c r="AD40" i="4"/>
  <c r="AE40" i="4"/>
  <c r="AF40" i="4"/>
  <c r="AG40" i="4"/>
  <c r="AH40" i="4"/>
  <c r="AI40" i="4"/>
  <c r="AJ40" i="4"/>
  <c r="AK40" i="4"/>
  <c r="AL40" i="4"/>
  <c r="AI10" i="4"/>
  <c r="AI7" i="4" s="1"/>
  <c r="AH10" i="4"/>
  <c r="AH7" i="4" s="1"/>
  <c r="AJ7" i="4"/>
  <c r="AK7" i="4"/>
  <c r="D32" i="4"/>
  <c r="R40" i="4"/>
  <c r="R30" i="4"/>
  <c r="R16" i="4"/>
  <c r="R14" i="4"/>
  <c r="R10" i="4"/>
  <c r="R7" i="4" s="1"/>
  <c r="Q40" i="4"/>
  <c r="Q30" i="4"/>
  <c r="Q16" i="4"/>
  <c r="Q14" i="4"/>
  <c r="Q10" i="4"/>
  <c r="Q7" i="4" s="1"/>
  <c r="X7" i="4"/>
  <c r="D8" i="4"/>
  <c r="D9" i="4"/>
  <c r="D10" i="4"/>
  <c r="E10" i="4"/>
  <c r="E7" i="4" s="1"/>
  <c r="G10" i="4"/>
  <c r="G7" i="4" s="1"/>
  <c r="H10" i="4"/>
  <c r="H7" i="4" s="1"/>
  <c r="I10" i="4"/>
  <c r="I7" i="4" s="1"/>
  <c r="J10" i="4"/>
  <c r="J7" i="4" s="1"/>
  <c r="K10" i="4"/>
  <c r="K7" i="4" s="1"/>
  <c r="L10" i="4"/>
  <c r="L7" i="4" s="1"/>
  <c r="M10" i="4"/>
  <c r="M7" i="4" s="1"/>
  <c r="N10" i="4"/>
  <c r="N7" i="4" s="1"/>
  <c r="O10" i="4"/>
  <c r="O7" i="4" s="1"/>
  <c r="P10" i="4"/>
  <c r="P7" i="4" s="1"/>
  <c r="S10" i="4"/>
  <c r="S7" i="4" s="1"/>
  <c r="T10" i="4"/>
  <c r="T7" i="4" s="1"/>
  <c r="U10" i="4"/>
  <c r="U7" i="4" s="1"/>
  <c r="E14" i="4"/>
  <c r="G14" i="4"/>
  <c r="H14" i="4"/>
  <c r="I14" i="4"/>
  <c r="J14" i="4"/>
  <c r="K14" i="4"/>
  <c r="L14" i="4"/>
  <c r="M14" i="4"/>
  <c r="N14" i="4"/>
  <c r="O14" i="4"/>
  <c r="P14" i="4"/>
  <c r="S14" i="4"/>
  <c r="T14" i="4"/>
  <c r="U14" i="4"/>
  <c r="D15" i="4"/>
  <c r="D14" i="4" s="1"/>
  <c r="V15" i="4"/>
  <c r="V14" i="4" s="1"/>
  <c r="E16" i="4"/>
  <c r="G16" i="4"/>
  <c r="H16" i="4"/>
  <c r="I16" i="4"/>
  <c r="J16" i="4"/>
  <c r="K16" i="4"/>
  <c r="L16" i="4"/>
  <c r="M16" i="4"/>
  <c r="N16" i="4"/>
  <c r="O16" i="4"/>
  <c r="P16" i="4"/>
  <c r="S16" i="4"/>
  <c r="T16" i="4"/>
  <c r="U16" i="4"/>
  <c r="D17" i="4"/>
  <c r="D18" i="4"/>
  <c r="D19" i="4"/>
  <c r="D20" i="4"/>
  <c r="D21" i="4"/>
  <c r="D22" i="4"/>
  <c r="D23" i="4"/>
  <c r="D24" i="4"/>
  <c r="D25" i="4"/>
  <c r="D26" i="4"/>
  <c r="D27" i="4"/>
  <c r="D28" i="4"/>
  <c r="D29" i="4"/>
  <c r="E30" i="4"/>
  <c r="G30" i="4"/>
  <c r="H30" i="4"/>
  <c r="I30" i="4"/>
  <c r="J30" i="4"/>
  <c r="K30" i="4"/>
  <c r="L30" i="4"/>
  <c r="M30" i="4"/>
  <c r="N30" i="4"/>
  <c r="O30" i="4"/>
  <c r="P30" i="4"/>
  <c r="S30" i="4"/>
  <c r="T30" i="4"/>
  <c r="U30" i="4"/>
  <c r="D33" i="4"/>
  <c r="V33" i="4"/>
  <c r="D34" i="4"/>
  <c r="V34" i="4"/>
  <c r="D35" i="4"/>
  <c r="D36" i="4"/>
  <c r="D37" i="4"/>
  <c r="D38" i="4"/>
  <c r="D39" i="4"/>
  <c r="E40" i="4"/>
  <c r="G40" i="4"/>
  <c r="H40" i="4"/>
  <c r="I40" i="4"/>
  <c r="J40" i="4"/>
  <c r="K40" i="4"/>
  <c r="L40" i="4"/>
  <c r="M40" i="4"/>
  <c r="N40" i="4"/>
  <c r="O40" i="4"/>
  <c r="P40" i="4"/>
  <c r="S40" i="4"/>
  <c r="T40" i="4"/>
  <c r="U40" i="4"/>
  <c r="D41" i="4"/>
  <c r="D42" i="4"/>
  <c r="AS6" i="4" l="1"/>
  <c r="AV6" i="4"/>
  <c r="AP6" i="4"/>
  <c r="AO43" i="4"/>
  <c r="AM16" i="4"/>
  <c r="AT30" i="4"/>
  <c r="AT6" i="4" s="1"/>
  <c r="AZ30" i="4"/>
  <c r="AZ6" i="4" s="1"/>
  <c r="AM7" i="4"/>
  <c r="AU30" i="4"/>
  <c r="AU6" i="4" s="1"/>
  <c r="AM40" i="4"/>
  <c r="AM10" i="4"/>
  <c r="AM30" i="4"/>
  <c r="AN7" i="4"/>
  <c r="AQ16" i="4"/>
  <c r="AQ6" i="4" s="1"/>
  <c r="AX30" i="4"/>
  <c r="AX6" i="4" s="1"/>
  <c r="AO40" i="4"/>
  <c r="AO6" i="4" s="1"/>
  <c r="AN16" i="4"/>
  <c r="AR16" i="4"/>
  <c r="AR6" i="4" s="1"/>
  <c r="AK6" i="4"/>
  <c r="V44" i="4"/>
  <c r="V43" i="4" s="1"/>
  <c r="AI6" i="4"/>
  <c r="AJ6" i="4"/>
  <c r="R6" i="4"/>
  <c r="Q6" i="4"/>
  <c r="P6" i="4"/>
  <c r="L6" i="4"/>
  <c r="H6" i="4"/>
  <c r="S6" i="4"/>
  <c r="I6" i="4"/>
  <c r="U6" i="4"/>
  <c r="O6" i="4"/>
  <c r="G6" i="4"/>
  <c r="T6" i="4"/>
  <c r="N6" i="4"/>
  <c r="E6" i="4"/>
  <c r="M6" i="4"/>
  <c r="K6" i="4"/>
  <c r="D40" i="4"/>
  <c r="D30" i="4"/>
  <c r="J6" i="4"/>
  <c r="D16" i="4"/>
  <c r="D7" i="4"/>
  <c r="G46" i="5"/>
  <c r="G45" i="5"/>
  <c r="H40" i="3" s="1"/>
  <c r="F44" i="5"/>
  <c r="E44" i="5"/>
  <c r="G43" i="5"/>
  <c r="G42" i="5"/>
  <c r="H37" i="3" s="1"/>
  <c r="G41" i="5"/>
  <c r="G40" i="5"/>
  <c r="G39" i="5"/>
  <c r="G38" i="5"/>
  <c r="G37" i="5"/>
  <c r="G36" i="5"/>
  <c r="H31" i="3" s="1"/>
  <c r="G35" i="5"/>
  <c r="F34" i="5"/>
  <c r="E34" i="5"/>
  <c r="G33" i="5"/>
  <c r="G32" i="5"/>
  <c r="G31" i="5"/>
  <c r="G30" i="5"/>
  <c r="G29" i="5"/>
  <c r="G28" i="5"/>
  <c r="G27" i="5"/>
  <c r="G26" i="5"/>
  <c r="G25" i="5"/>
  <c r="G24" i="5"/>
  <c r="G23" i="5"/>
  <c r="G22" i="5"/>
  <c r="G21" i="5"/>
  <c r="F20" i="5"/>
  <c r="E20" i="5"/>
  <c r="G18" i="5"/>
  <c r="F18" i="5"/>
  <c r="E18" i="5"/>
  <c r="G17" i="5"/>
  <c r="G16" i="5"/>
  <c r="K16" i="5" s="1"/>
  <c r="G15" i="5"/>
  <c r="F14" i="5"/>
  <c r="E14" i="5"/>
  <c r="G13" i="5"/>
  <c r="G12" i="5"/>
  <c r="F11" i="5"/>
  <c r="E11" i="5"/>
  <c r="F10" i="5"/>
  <c r="E10" i="5"/>
  <c r="F8" i="5"/>
  <c r="E8" i="5"/>
  <c r="F7" i="5"/>
  <c r="E7" i="5"/>
  <c r="E6" i="5" l="1"/>
  <c r="E9" i="5" s="1"/>
  <c r="AM6" i="4"/>
  <c r="U19" i="9"/>
  <c r="P19" i="9" s="1"/>
  <c r="H19" i="3"/>
  <c r="H27" i="3"/>
  <c r="X27" i="9"/>
  <c r="P27" i="9" s="1"/>
  <c r="H30" i="3"/>
  <c r="Q30" i="9"/>
  <c r="H38" i="3"/>
  <c r="Q38" i="9"/>
  <c r="P38" i="9" s="1"/>
  <c r="Q41" i="9"/>
  <c r="H41" i="3"/>
  <c r="N41" i="3" s="1"/>
  <c r="I9" i="10" s="1"/>
  <c r="H10" i="3"/>
  <c r="Q10" i="9"/>
  <c r="H20" i="3"/>
  <c r="AA20" i="9"/>
  <c r="H28" i="3"/>
  <c r="X28" i="9"/>
  <c r="P28" i="9" s="1"/>
  <c r="Q35" i="9"/>
  <c r="P35" i="9" s="1"/>
  <c r="H35" i="3"/>
  <c r="G11" i="5"/>
  <c r="H8" i="3"/>
  <c r="Q8" i="9"/>
  <c r="P8" i="9" s="1"/>
  <c r="Q11" i="9"/>
  <c r="P11" i="9" s="1"/>
  <c r="H11" i="3"/>
  <c r="U17" i="9"/>
  <c r="H17" i="3"/>
  <c r="W21" i="9"/>
  <c r="H21" i="3"/>
  <c r="X25" i="9"/>
  <c r="P25" i="9" s="1"/>
  <c r="H25" i="3"/>
  <c r="Q32" i="9"/>
  <c r="P32" i="9" s="1"/>
  <c r="H32" i="3"/>
  <c r="Q36" i="9"/>
  <c r="P36" i="9" s="1"/>
  <c r="H36" i="3"/>
  <c r="H23" i="3"/>
  <c r="Z23" i="9"/>
  <c r="H34" i="3"/>
  <c r="Q34" i="9"/>
  <c r="P34" i="9" s="1"/>
  <c r="Q7" i="9"/>
  <c r="H7" i="3"/>
  <c r="H16" i="3"/>
  <c r="X16" i="9"/>
  <c r="H24" i="3"/>
  <c r="AA24" i="9"/>
  <c r="P24" i="9" s="1"/>
  <c r="L31" i="3"/>
  <c r="M31" i="3"/>
  <c r="N31" i="3"/>
  <c r="Q12" i="9"/>
  <c r="P12" i="9" s="1"/>
  <c r="H12" i="3"/>
  <c r="H18" i="3"/>
  <c r="U18" i="9"/>
  <c r="P18" i="9" s="1"/>
  <c r="H22" i="3"/>
  <c r="S22" i="9"/>
  <c r="H26" i="3"/>
  <c r="N26" i="3" s="1"/>
  <c r="Q26" i="9"/>
  <c r="H33" i="3"/>
  <c r="Q33" i="9"/>
  <c r="P33" i="9" s="1"/>
  <c r="L40" i="3"/>
  <c r="H39" i="3"/>
  <c r="M40" i="3"/>
  <c r="N40" i="3"/>
  <c r="K46" i="5"/>
  <c r="L46" i="5"/>
  <c r="M46" i="5"/>
  <c r="G14" i="5"/>
  <c r="M16" i="5"/>
  <c r="L16" i="5"/>
  <c r="V12" i="4"/>
  <c r="M22" i="5"/>
  <c r="L22" i="5"/>
  <c r="K22" i="5"/>
  <c r="Z18" i="4"/>
  <c r="V18" i="4" s="1"/>
  <c r="L37" i="5"/>
  <c r="K37" i="5"/>
  <c r="M37" i="5"/>
  <c r="L27" i="5"/>
  <c r="K27" i="5"/>
  <c r="M27" i="5"/>
  <c r="W23" i="4"/>
  <c r="V23" i="4" s="1"/>
  <c r="M42" i="5"/>
  <c r="L42" i="5"/>
  <c r="K42" i="5"/>
  <c r="AD38" i="4"/>
  <c r="G44" i="5"/>
  <c r="K45" i="5"/>
  <c r="M45" i="5"/>
  <c r="L45" i="5"/>
  <c r="L44" i="5" s="1"/>
  <c r="W41" i="4"/>
  <c r="W40" i="4" s="1"/>
  <c r="F6" i="5"/>
  <c r="F9" i="5" s="1"/>
  <c r="M24" i="5"/>
  <c r="L24" i="5"/>
  <c r="K24" i="5"/>
  <c r="W20" i="4"/>
  <c r="M28" i="5"/>
  <c r="L28" i="5"/>
  <c r="K28" i="5"/>
  <c r="W24" i="4"/>
  <c r="V24" i="4" s="1"/>
  <c r="M32" i="5"/>
  <c r="L32" i="5"/>
  <c r="K32" i="5"/>
  <c r="AA28" i="4"/>
  <c r="G34" i="5"/>
  <c r="M35" i="5"/>
  <c r="L35" i="5"/>
  <c r="K35" i="5"/>
  <c r="V31" i="4"/>
  <c r="M39" i="5"/>
  <c r="L39" i="5"/>
  <c r="K39" i="5"/>
  <c r="W35" i="4"/>
  <c r="V35" i="4" s="1"/>
  <c r="M43" i="5"/>
  <c r="L43" i="5"/>
  <c r="K43" i="5"/>
  <c r="AC39" i="4"/>
  <c r="X42" i="4"/>
  <c r="X40" i="4" s="1"/>
  <c r="X6" i="4" s="1"/>
  <c r="L13" i="5"/>
  <c r="M13" i="5"/>
  <c r="K13" i="5"/>
  <c r="W9" i="4"/>
  <c r="V9" i="4" s="1"/>
  <c r="K26" i="5"/>
  <c r="M26" i="5"/>
  <c r="L26" i="5"/>
  <c r="W22" i="4"/>
  <c r="V22" i="4" s="1"/>
  <c r="K30" i="5"/>
  <c r="M30" i="5"/>
  <c r="L30" i="5"/>
  <c r="W26" i="4"/>
  <c r="V26" i="4" s="1"/>
  <c r="L41" i="5"/>
  <c r="K41" i="5"/>
  <c r="M41" i="5"/>
  <c r="AF37" i="4"/>
  <c r="G8" i="5"/>
  <c r="K17" i="5"/>
  <c r="M17" i="5"/>
  <c r="L17" i="5"/>
  <c r="V13" i="4"/>
  <c r="K23" i="5"/>
  <c r="L23" i="5"/>
  <c r="M23" i="5"/>
  <c r="Z19" i="4"/>
  <c r="V19" i="4" s="1"/>
  <c r="L31" i="5"/>
  <c r="K31" i="5"/>
  <c r="M31" i="5"/>
  <c r="AA27" i="4"/>
  <c r="M38" i="5"/>
  <c r="L38" i="5"/>
  <c r="K38" i="5"/>
  <c r="K12" i="5"/>
  <c r="M12" i="5"/>
  <c r="M11" i="5" s="1"/>
  <c r="L12" i="5"/>
  <c r="W8" i="4"/>
  <c r="M15" i="5"/>
  <c r="L15" i="5"/>
  <c r="K15" i="5"/>
  <c r="V11" i="4"/>
  <c r="G20" i="5"/>
  <c r="M21" i="5"/>
  <c r="L21" i="5"/>
  <c r="K21" i="5"/>
  <c r="Z17" i="4"/>
  <c r="M25" i="5"/>
  <c r="L25" i="5"/>
  <c r="K25" i="5"/>
  <c r="W21" i="4"/>
  <c r="V21" i="4" s="1"/>
  <c r="M29" i="5"/>
  <c r="L29" i="5"/>
  <c r="K29" i="5"/>
  <c r="W25" i="4"/>
  <c r="V25" i="4" s="1"/>
  <c r="M33" i="5"/>
  <c r="L33" i="5"/>
  <c r="K33" i="5"/>
  <c r="K36" i="5"/>
  <c r="M36" i="5"/>
  <c r="L36" i="5"/>
  <c r="W32" i="4"/>
  <c r="K40" i="5"/>
  <c r="M40" i="5"/>
  <c r="L40" i="5"/>
  <c r="AH36" i="4"/>
  <c r="AN6" i="4"/>
  <c r="D6" i="4"/>
  <c r="G7" i="5"/>
  <c r="G10" i="5"/>
  <c r="K11" i="5" l="1"/>
  <c r="K44" i="5"/>
  <c r="H9" i="3"/>
  <c r="H15" i="3"/>
  <c r="M14" i="5"/>
  <c r="P22" i="9"/>
  <c r="S15" i="9"/>
  <c r="S5" i="9" s="1"/>
  <c r="L34" i="3"/>
  <c r="N34" i="3"/>
  <c r="M34" i="3"/>
  <c r="P17" i="9"/>
  <c r="U15" i="9"/>
  <c r="U5" i="9" s="1"/>
  <c r="L8" i="3"/>
  <c r="N8" i="3"/>
  <c r="M8" i="3"/>
  <c r="P10" i="9"/>
  <c r="P9" i="9" s="1"/>
  <c r="Q9" i="9"/>
  <c r="N22" i="3"/>
  <c r="M22" i="3"/>
  <c r="L22" i="3"/>
  <c r="Z15" i="9"/>
  <c r="Z5" i="9" s="1"/>
  <c r="P23" i="9"/>
  <c r="N21" i="3"/>
  <c r="M21" i="3"/>
  <c r="L21" i="3"/>
  <c r="N28" i="3"/>
  <c r="L28" i="3"/>
  <c r="M28" i="3"/>
  <c r="N10" i="3"/>
  <c r="M10" i="3"/>
  <c r="N27" i="3"/>
  <c r="L27" i="3"/>
  <c r="M27" i="3"/>
  <c r="P26" i="9"/>
  <c r="Q15" i="9"/>
  <c r="L24" i="3"/>
  <c r="L23" i="3" s="1"/>
  <c r="M24" i="3"/>
  <c r="M23" i="3" s="1"/>
  <c r="N24" i="3"/>
  <c r="N23" i="3" s="1"/>
  <c r="P7" i="9"/>
  <c r="P6" i="9" s="1"/>
  <c r="Q6" i="9"/>
  <c r="W15" i="9"/>
  <c r="W5" i="9" s="1"/>
  <c r="P21" i="9"/>
  <c r="M35" i="3"/>
  <c r="N35" i="3"/>
  <c r="L35" i="3"/>
  <c r="P20" i="9"/>
  <c r="AA15" i="9"/>
  <c r="AA5" i="9" s="1"/>
  <c r="P30" i="9"/>
  <c r="P29" i="9" s="1"/>
  <c r="Q29" i="9"/>
  <c r="L33" i="3"/>
  <c r="N33" i="3"/>
  <c r="M33" i="3"/>
  <c r="M7" i="3"/>
  <c r="N7" i="3"/>
  <c r="H6" i="3"/>
  <c r="L7" i="3"/>
  <c r="M32" i="3"/>
  <c r="N32" i="3"/>
  <c r="L32" i="3"/>
  <c r="M11" i="3"/>
  <c r="N11" i="3"/>
  <c r="P16" i="9"/>
  <c r="X15" i="9"/>
  <c r="X5" i="9" s="1"/>
  <c r="P41" i="9"/>
  <c r="P39" i="9" s="1"/>
  <c r="Q39" i="9"/>
  <c r="H29" i="3"/>
  <c r="N30" i="3"/>
  <c r="L30" i="3"/>
  <c r="M30" i="3"/>
  <c r="L14" i="5"/>
  <c r="M20" i="5"/>
  <c r="K34" i="5"/>
  <c r="K10" i="5"/>
  <c r="L10" i="5"/>
  <c r="M10" i="5"/>
  <c r="AA16" i="4"/>
  <c r="K8" i="5"/>
  <c r="L8" i="5"/>
  <c r="M8" i="5"/>
  <c r="L34" i="5"/>
  <c r="M7" i="5"/>
  <c r="K7" i="5"/>
  <c r="L7" i="5"/>
  <c r="M34" i="5"/>
  <c r="K20" i="5"/>
  <c r="L20" i="5"/>
  <c r="K14" i="5"/>
  <c r="L11" i="5"/>
  <c r="M44" i="5"/>
  <c r="G6" i="5"/>
  <c r="V17" i="4"/>
  <c r="Z16" i="4"/>
  <c r="V38" i="4"/>
  <c r="AD30" i="4"/>
  <c r="V32" i="4"/>
  <c r="W30" i="4"/>
  <c r="V10" i="4"/>
  <c r="V37" i="4"/>
  <c r="AF30" i="4"/>
  <c r="AC30" i="4"/>
  <c r="V39" i="4"/>
  <c r="V20" i="4"/>
  <c r="W16" i="4"/>
  <c r="V36" i="4"/>
  <c r="AH30" i="4"/>
  <c r="AH6" i="4" s="1"/>
  <c r="V8" i="4"/>
  <c r="V7" i="4" s="1"/>
  <c r="W7" i="4"/>
  <c r="L20" i="3" l="1"/>
  <c r="M20" i="3"/>
  <c r="H5" i="3"/>
  <c r="N20" i="3"/>
  <c r="Q5" i="9"/>
  <c r="P15" i="9"/>
  <c r="P5" i="9" s="1"/>
  <c r="G9" i="5"/>
  <c r="K9" i="5" s="1"/>
  <c r="B6" i="14"/>
  <c r="L29" i="3"/>
  <c r="M29" i="3"/>
  <c r="N29" i="3"/>
  <c r="N9" i="3"/>
  <c r="N6" i="3" s="1"/>
  <c r="L9" i="3"/>
  <c r="M9" i="3"/>
  <c r="M6" i="3" s="1"/>
  <c r="K6" i="5"/>
  <c r="L6" i="5"/>
  <c r="M6" i="5"/>
  <c r="W6" i="4"/>
  <c r="V30" i="4"/>
  <c r="L9" i="5" l="1"/>
  <c r="M9" i="5"/>
  <c r="M42" i="3"/>
  <c r="L42" i="3"/>
  <c r="M41" i="3"/>
  <c r="H9" i="10" s="1"/>
  <c r="L41" i="3"/>
  <c r="G9" i="10" s="1"/>
  <c r="M26" i="3"/>
  <c r="L26" i="3"/>
  <c r="N43" i="3"/>
  <c r="M43" i="3"/>
  <c r="L43" i="3" l="1"/>
  <c r="L11" i="3"/>
  <c r="L10" i="3" l="1"/>
  <c r="L6" i="3" s="1"/>
  <c r="V42" i="4" l="1"/>
  <c r="V28" i="4"/>
  <c r="V29" i="4"/>
  <c r="V27" i="4"/>
  <c r="Y7" i="4"/>
  <c r="Y6" i="4" s="1"/>
  <c r="Z7" i="4"/>
  <c r="Z6" i="4" s="1"/>
  <c r="AA7" i="4"/>
  <c r="AA6" i="4" s="1"/>
  <c r="AB7" i="4"/>
  <c r="AB6" i="4" s="1"/>
  <c r="AC7" i="4"/>
  <c r="AC6" i="4" s="1"/>
  <c r="AD7" i="4"/>
  <c r="AD6" i="4" s="1"/>
  <c r="AE7" i="4"/>
  <c r="AE6" i="4" s="1"/>
  <c r="AF7" i="4"/>
  <c r="AF6" i="4" s="1"/>
  <c r="AG7" i="4"/>
  <c r="AG6" i="4" s="1"/>
  <c r="AL7" i="4"/>
  <c r="AL6" i="4" s="1"/>
  <c r="V16" i="4" l="1"/>
  <c r="V41" i="4"/>
  <c r="V40" i="4" s="1"/>
  <c r="V6" i="4" l="1"/>
  <c r="L14" i="3" l="1"/>
  <c r="M14" i="3" l="1"/>
  <c r="N14" i="3" l="1"/>
  <c r="M17" i="10" l="1"/>
  <c r="N17" i="10"/>
  <c r="O17" i="10"/>
  <c r="N33" i="10"/>
  <c r="O33" i="10"/>
  <c r="M44" i="10"/>
  <c r="M43" i="10" s="1"/>
  <c r="N44" i="10"/>
  <c r="N43" i="10" s="1"/>
  <c r="O44" i="10"/>
  <c r="O43" i="10" s="1"/>
  <c r="M46" i="10"/>
  <c r="N46" i="10"/>
  <c r="O46" i="10"/>
  <c r="M47" i="10"/>
  <c r="N47" i="10"/>
  <c r="O47" i="10"/>
  <c r="N9" i="10" l="1"/>
  <c r="M9" i="10"/>
  <c r="O9" i="10"/>
  <c r="L36" i="3"/>
  <c r="L37" i="3"/>
  <c r="M37" i="3"/>
  <c r="N37" i="3"/>
  <c r="L38" i="3"/>
  <c r="M38" i="3"/>
  <c r="N38" i="3"/>
  <c r="L39" i="3"/>
  <c r="M39" i="3"/>
  <c r="N39" i="3"/>
  <c r="M36" i="3"/>
  <c r="N36" i="3"/>
  <c r="L16" i="3"/>
  <c r="M16" i="3"/>
  <c r="N16" i="3"/>
  <c r="L17" i="3"/>
  <c r="M17" i="3"/>
  <c r="N17" i="3"/>
  <c r="L18" i="3"/>
  <c r="M18" i="3"/>
  <c r="N18" i="3"/>
  <c r="L19" i="3"/>
  <c r="M19" i="3"/>
  <c r="N19" i="3"/>
  <c r="M15" i="3"/>
  <c r="N15" i="3"/>
  <c r="L15" i="3"/>
  <c r="N12" i="3" l="1"/>
  <c r="M25" i="3"/>
  <c r="L12" i="3"/>
  <c r="M12" i="3"/>
  <c r="N25" i="3"/>
  <c r="N5" i="3" s="1"/>
  <c r="L25" i="3"/>
  <c r="L5" i="3" l="1"/>
  <c r="M5" i="3"/>
  <c r="E7" i="14"/>
  <c r="E12" i="14" s="1"/>
  <c r="D7" i="14"/>
  <c r="D12" i="14" s="1"/>
  <c r="C7" i="14"/>
  <c r="C12" i="14" l="1"/>
  <c r="C11" i="14"/>
  <c r="D11" i="14"/>
  <c r="E11" i="14"/>
</calcChain>
</file>

<file path=xl/comments1.xml><?xml version="1.0" encoding="utf-8"?>
<comments xmlns="http://schemas.openxmlformats.org/spreadsheetml/2006/main">
  <authors>
    <author>Author</author>
  </authors>
  <commentList>
    <comment ref="E41" authorId="0">
      <text>
        <r>
          <rPr>
            <b/>
            <sz val="9"/>
            <color indexed="81"/>
            <rFont val="Tahoma"/>
            <family val="2"/>
          </rPr>
          <t>2019 Հիդրոմետ
1274206.1</t>
        </r>
        <r>
          <rPr>
            <sz val="9"/>
            <color indexed="81"/>
            <rFont val="Tahoma"/>
            <family val="2"/>
          </rPr>
          <t xml:space="preserve">
</t>
        </r>
      </text>
    </comment>
    <comment ref="F41" authorId="0">
      <text>
        <r>
          <rPr>
            <b/>
            <sz val="9"/>
            <color indexed="81"/>
            <rFont val="Tahoma"/>
            <family val="2"/>
          </rPr>
          <t>2019 Հիդրոմետ
1313140.5</t>
        </r>
        <r>
          <rPr>
            <sz val="9"/>
            <color indexed="81"/>
            <rFont val="Tahoma"/>
            <family val="2"/>
          </rPr>
          <t xml:space="preserve">
</t>
        </r>
      </text>
    </comment>
    <comment ref="D142" authorId="0">
      <text>
        <r>
          <rPr>
            <sz val="9"/>
            <color indexed="81"/>
            <rFont val="Tahoma"/>
            <family val="2"/>
          </rPr>
          <t xml:space="preserve">Անտառտնտեսական աշխատանքների մասը ավելացնել
</t>
        </r>
      </text>
    </comment>
    <comment ref="D150" authorId="0">
      <text>
        <r>
          <rPr>
            <sz val="9"/>
            <color indexed="81"/>
            <rFont val="Tahoma"/>
            <family val="2"/>
          </rPr>
          <t xml:space="preserve">Ավելացնել
անտառատնտեսական աշխատանքների </t>
        </r>
      </text>
    </comment>
  </commentList>
</comments>
</file>

<file path=xl/comments2.xml><?xml version="1.0" encoding="utf-8"?>
<comments xmlns="http://schemas.openxmlformats.org/spreadsheetml/2006/main">
  <authors>
    <author>Author</author>
  </authors>
  <commentList>
    <comment ref="D63" authorId="0">
      <text>
        <r>
          <rPr>
            <b/>
            <sz val="9"/>
            <color indexed="81"/>
            <rFont val="Tahoma"/>
            <family val="2"/>
          </rPr>
          <t>Արտակարգ իրավիճակների նախարարություն</t>
        </r>
      </text>
    </comment>
    <comment ref="E63" authorId="0">
      <text>
        <r>
          <rPr>
            <b/>
            <sz val="9"/>
            <color indexed="81"/>
            <rFont val="Tahoma"/>
            <family val="2"/>
          </rPr>
          <t>Արտակարգ իրավիճակների նախարարություն</t>
        </r>
        <r>
          <rPr>
            <sz val="9"/>
            <color indexed="81"/>
            <rFont val="Tahoma"/>
            <family val="2"/>
          </rPr>
          <t xml:space="preserve">
</t>
        </r>
      </text>
    </comment>
    <comment ref="D82" authorId="0">
      <text>
        <r>
          <rPr>
            <sz val="9"/>
            <color indexed="81"/>
            <rFont val="Tahoma"/>
            <family val="2"/>
          </rPr>
          <t xml:space="preserve">
1274206.1</t>
        </r>
      </text>
    </comment>
    <comment ref="E82" authorId="0">
      <text>
        <r>
          <rPr>
            <sz val="9"/>
            <color indexed="81"/>
            <rFont val="Tahoma"/>
            <family val="2"/>
          </rPr>
          <t xml:space="preserve">
1313140.5</t>
        </r>
      </text>
    </comment>
    <comment ref="C295" authorId="0">
      <text>
        <r>
          <rPr>
            <sz val="9"/>
            <color indexed="81"/>
            <rFont val="Arial Armenian"/>
            <family val="2"/>
          </rPr>
          <t xml:space="preserve">
³Ýï³é³ïÝï»ë³Ï³Ý ³ßË³ï³ÝùÝ»ñը հանվել են </t>
        </r>
      </text>
    </comment>
    <comment ref="C312" authorId="0">
      <text>
        <r>
          <rPr>
            <sz val="9"/>
            <color indexed="81"/>
            <rFont val="Tahoma"/>
            <family val="2"/>
          </rPr>
          <t xml:space="preserve">Անտառտնտեսական աշխատանքների մասը ավելացնել
</t>
        </r>
      </text>
    </comment>
    <comment ref="C332" authorId="0">
      <text>
        <r>
          <rPr>
            <sz val="9"/>
            <color indexed="81"/>
            <rFont val="Tahoma"/>
            <family val="2"/>
          </rPr>
          <t>Ավելացնել
գիտական ուսումնասիրությունների, անտառատնտեսական աշխատանքների կատարում</t>
        </r>
      </text>
    </comment>
    <comment ref="C333" authorId="0">
      <text>
        <r>
          <rPr>
            <sz val="9"/>
            <color indexed="81"/>
            <rFont val="Tahoma"/>
            <family val="2"/>
          </rPr>
          <t xml:space="preserve">Ավելացնել
անտառատնտեսական աշխատանքների </t>
        </r>
      </text>
    </comment>
    <comment ref="C469" authorId="0">
      <text>
        <r>
          <rPr>
            <b/>
            <sz val="9"/>
            <color indexed="81"/>
            <rFont val="Tahoma"/>
            <family val="2"/>
          </rPr>
          <t>Ավելացնել 
և հիվանդությունների</t>
        </r>
        <r>
          <rPr>
            <sz val="9"/>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E16" authorId="0">
      <text>
        <r>
          <rPr>
            <b/>
            <sz val="9"/>
            <color indexed="81"/>
            <rFont val="Tahoma"/>
            <family val="2"/>
          </rPr>
          <t>2018թ. տարեկան հաշվետվություն</t>
        </r>
        <r>
          <rPr>
            <sz val="9"/>
            <color indexed="81"/>
            <rFont val="Tahoma"/>
            <family val="2"/>
          </rPr>
          <t xml:space="preserve">
</t>
        </r>
      </text>
    </comment>
    <comment ref="E21" authorId="0">
      <text>
        <r>
          <rPr>
            <b/>
            <sz val="9"/>
            <color indexed="81"/>
            <rFont val="Tahoma"/>
            <family val="2"/>
          </rPr>
          <t>10 ցուցահանդես
7 միջոցառում</t>
        </r>
        <r>
          <rPr>
            <sz val="9"/>
            <color indexed="81"/>
            <rFont val="Tahoma"/>
            <family val="2"/>
          </rPr>
          <t xml:space="preserve">
</t>
        </r>
      </text>
    </comment>
  </commentList>
</comments>
</file>

<file path=xl/sharedStrings.xml><?xml version="1.0" encoding="utf-8"?>
<sst xmlns="http://schemas.openxmlformats.org/spreadsheetml/2006/main" count="2864" uniqueCount="726">
  <si>
    <t>2019թ.</t>
  </si>
  <si>
    <t>2020թ.</t>
  </si>
  <si>
    <t>2021թ.</t>
  </si>
  <si>
    <t>2022թ.</t>
  </si>
  <si>
    <t>X</t>
  </si>
  <si>
    <t>Հավելված N 5. Բյուջետային ծրագրերի գծով ծախսերի բաշխումն ըստ բյուջետային ծախսերի գործառական դասակարգման տարրերի</t>
  </si>
  <si>
    <t>Ծրագրային դասիչը</t>
  </si>
  <si>
    <t>Ծրագիր /Միջոցառում</t>
  </si>
  <si>
    <t>Գործառական դասակարգման</t>
  </si>
  <si>
    <t>2021թ բյուջե (հազ. դրամ)</t>
  </si>
  <si>
    <t>Բաժին</t>
  </si>
  <si>
    <t xml:space="preserve">Խումբ </t>
  </si>
  <si>
    <t>Դաս</t>
  </si>
  <si>
    <t>05</t>
  </si>
  <si>
    <t>06</t>
  </si>
  <si>
    <t>01</t>
  </si>
  <si>
    <t>04</t>
  </si>
  <si>
    <t>08</t>
  </si>
  <si>
    <t>02</t>
  </si>
  <si>
    <t xml:space="preserve"> Աջակցություն Կովկասի տարածաշրջանային բնապահպանական կենտրոնի հայաստանյան մասնաճյուղին</t>
  </si>
  <si>
    <t>Ընդամենը</t>
  </si>
  <si>
    <t>Հավելված N 4. Բյուջետային ծրագրերի գծով ամփոփ ծախսերն ըստ բյուջետային ծախսերի տնտեսագիտական դասակարգման հոդվածների</t>
  </si>
  <si>
    <r>
      <rPr>
        <b/>
        <i/>
        <sz val="8"/>
        <rFont val="GHEA Grapalat"/>
        <family val="3"/>
      </rPr>
      <t>5111</t>
    </r>
    <r>
      <rPr>
        <i/>
        <sz val="8"/>
        <rFont val="GHEA Grapalat"/>
        <family val="3"/>
      </rPr>
      <t xml:space="preserve">
Շենքերի և շինությունների ձեռքբերում</t>
    </r>
  </si>
  <si>
    <r>
      <rPr>
        <b/>
        <i/>
        <sz val="8"/>
        <rFont val="GHEA Grapalat"/>
        <family val="3"/>
      </rPr>
      <t>5113</t>
    </r>
    <r>
      <rPr>
        <i/>
        <sz val="8"/>
        <rFont val="GHEA Grapalat"/>
        <family val="3"/>
      </rPr>
      <t xml:space="preserve">
շենքերի և շինությունների կապիտալ վերանորոգում</t>
    </r>
  </si>
  <si>
    <r>
      <rPr>
        <b/>
        <i/>
        <sz val="8"/>
        <rFont val="GHEA Grapalat"/>
        <family val="3"/>
      </rPr>
      <t>5133</t>
    </r>
    <r>
      <rPr>
        <i/>
        <sz val="8"/>
        <rFont val="GHEA Grapalat"/>
        <family val="3"/>
      </rPr>
      <t xml:space="preserve">
Գեոդեզիական  քարտեզագրական ծախսեր</t>
    </r>
  </si>
  <si>
    <r>
      <rPr>
        <b/>
        <i/>
        <sz val="8"/>
        <rFont val="GHEA Grapalat"/>
        <family val="3"/>
      </rPr>
      <t>5134</t>
    </r>
    <r>
      <rPr>
        <i/>
        <sz val="8"/>
        <rFont val="GHEA Grapalat"/>
        <family val="3"/>
      </rPr>
      <t xml:space="preserve">
Նախագծահետազոտական ծախսեր</t>
    </r>
  </si>
  <si>
    <r>
      <rPr>
        <b/>
        <i/>
        <sz val="8"/>
        <rFont val="GHEA Grapalat"/>
        <family val="3"/>
      </rPr>
      <t>4269</t>
    </r>
    <r>
      <rPr>
        <i/>
        <sz val="8"/>
        <rFont val="GHEA Grapalat"/>
        <family val="3"/>
      </rPr>
      <t xml:space="preserve">
Հատուկ նպատակային նյութեր</t>
    </r>
  </si>
  <si>
    <r>
      <rPr>
        <b/>
        <i/>
        <sz val="8"/>
        <rFont val="GHEA Grapalat"/>
        <family val="3"/>
      </rPr>
      <t>4241</t>
    </r>
    <r>
      <rPr>
        <i/>
        <sz val="8"/>
        <rFont val="GHEA Grapalat"/>
        <family val="3"/>
      </rPr>
      <t xml:space="preserve">
Մասնագիտական ծառայություններ</t>
    </r>
  </si>
  <si>
    <t xml:space="preserve"> Անտառպահպանական ծառայություններ</t>
  </si>
  <si>
    <t xml:space="preserve"> Անտառկառավարման պլանների կազմում</t>
  </si>
  <si>
    <t xml:space="preserve"> Շրջակա միջավայրի վրա ազդեցության գնահատում և փորձաքննություն</t>
  </si>
  <si>
    <r>
      <rPr>
        <b/>
        <i/>
        <sz val="8"/>
        <rFont val="GHEA Grapalat"/>
        <family val="3"/>
      </rPr>
      <t>5121</t>
    </r>
    <r>
      <rPr>
        <i/>
        <sz val="8"/>
        <rFont val="GHEA Grapalat"/>
        <family val="3"/>
      </rPr>
      <t xml:space="preserve">
տրանսպորտային սարքավորումներ</t>
    </r>
  </si>
  <si>
    <r>
      <rPr>
        <b/>
        <i/>
        <sz val="8"/>
        <rFont val="GHEA Grapalat"/>
        <family val="3"/>
      </rPr>
      <t>5131</t>
    </r>
    <r>
      <rPr>
        <i/>
        <sz val="8"/>
        <rFont val="GHEA Grapalat"/>
        <family val="3"/>
      </rPr>
      <t xml:space="preserve">
Աճեցվող ակտիվներ</t>
    </r>
  </si>
  <si>
    <r>
      <rPr>
        <b/>
        <i/>
        <sz val="8"/>
        <rFont val="GHEA Grapalat"/>
        <family val="3"/>
      </rPr>
      <t>4632</t>
    </r>
    <r>
      <rPr>
        <i/>
        <sz val="8"/>
        <rFont val="GHEA Grapalat"/>
        <family val="3"/>
      </rPr>
      <t xml:space="preserve">
Ընթացիկ սուբվենցիաներ համայնքներին</t>
    </r>
  </si>
  <si>
    <r>
      <rPr>
        <b/>
        <i/>
        <sz val="8"/>
        <rFont val="GHEA Grapalat"/>
        <family val="3"/>
      </rPr>
      <t>4637</t>
    </r>
    <r>
      <rPr>
        <i/>
        <sz val="8"/>
        <rFont val="GHEA Grapalat"/>
        <family val="3"/>
      </rPr>
      <t xml:space="preserve">
Ընթացիկ դրամաշնորհներ պետական և համայնքների ոչ առևտրային կազմակերպություններին</t>
    </r>
  </si>
  <si>
    <r>
      <rPr>
        <b/>
        <i/>
        <sz val="8"/>
        <rFont val="GHEA Grapalat"/>
        <family val="3"/>
      </rPr>
      <t>4652</t>
    </r>
    <r>
      <rPr>
        <i/>
        <sz val="8"/>
        <rFont val="GHEA Grapalat"/>
        <family val="3"/>
      </rPr>
      <t xml:space="preserve">
Կապիտալ սուբվենցիաներ համայնքներին</t>
    </r>
  </si>
  <si>
    <r>
      <rPr>
        <b/>
        <i/>
        <sz val="8"/>
        <rFont val="GHEA Grapalat"/>
        <family val="3"/>
      </rPr>
      <t>4861</t>
    </r>
    <r>
      <rPr>
        <i/>
        <sz val="8"/>
        <rFont val="GHEA Grapalat"/>
        <family val="3"/>
      </rPr>
      <t xml:space="preserve">
Այլ ծախսեր</t>
    </r>
  </si>
  <si>
    <r>
      <rPr>
        <b/>
        <i/>
        <sz val="8"/>
        <rFont val="GHEA Grapalat"/>
        <family val="3"/>
      </rPr>
      <t>4819</t>
    </r>
    <r>
      <rPr>
        <i/>
        <sz val="8"/>
        <rFont val="GHEA Grapalat"/>
        <family val="3"/>
      </rPr>
      <t xml:space="preserve">
Նվիրատվություններ այլ շահույթ չհետապնդող կազմակերպություններին</t>
    </r>
  </si>
  <si>
    <r>
      <rPr>
        <b/>
        <i/>
        <sz val="8"/>
        <rFont val="GHEA Grapalat"/>
        <family val="3"/>
      </rPr>
      <t>4239</t>
    </r>
    <r>
      <rPr>
        <i/>
        <sz val="8"/>
        <rFont val="GHEA Grapalat"/>
        <family val="3"/>
      </rPr>
      <t xml:space="preserve">
Ընդհանուր բնույթի այլ ծառայություններ</t>
    </r>
  </si>
  <si>
    <t>2021թ բյուջե (հազ. դրամ</t>
  </si>
  <si>
    <t>Ծրագիր</t>
  </si>
  <si>
    <t>Միջոցառում</t>
  </si>
  <si>
    <t>Հավելված N 7. Պետական մարմնի և դրա ենթակա կազմակերպությունների ստացվելիք եկամուտների աղբյուրները (բացառությամբ պետական բյուջեից ստացվող եկամուտների)</t>
  </si>
  <si>
    <t>Եկամուտներ ստացող կազմակերպությունների և ստացման աղբյուրների անվանումները</t>
  </si>
  <si>
    <t>Կանխատեսում</t>
  </si>
  <si>
    <t>ԸՆԴԱՄԵՆԸ</t>
  </si>
  <si>
    <t>այդ թվում`</t>
  </si>
  <si>
    <t>1.Վճարովի ծառայությունների մատուցումից և աշխատանքների կատարումից</t>
  </si>
  <si>
    <t>«Սևան» ազգային պարկ» ՊՈԱԿ</t>
  </si>
  <si>
    <t>«Դիլիջան» ազգային պարկ» ՊՈԱԿ</t>
  </si>
  <si>
    <t>«Արգելոցապարկային համալիր» ՊՈԱԿ</t>
  </si>
  <si>
    <t>«Խոսրովի անտառ» պետական արգելոց» ՊՈԱԿ</t>
  </si>
  <si>
    <t>«Արփի լիճ» ազգային պարկ» ՊՈԱԿ</t>
  </si>
  <si>
    <t>«Զիկատար» բնապահպանական կենտրոն» ՊՈԱԿ</t>
  </si>
  <si>
    <t>«Զանգեզուր» կենսոլորտային համալիր» ՊՈԱԿ</t>
  </si>
  <si>
    <t>«Շրջակա միջավայրի մոնիթորինգի և տեղեկատվության կենտրոն» ՊՈԱԿ</t>
  </si>
  <si>
    <t>«Հայաստանի բնության պետական թանգարան» ՊՈԱԿ</t>
  </si>
  <si>
    <t>«Հայանտառ» ՊՈԱԿ</t>
  </si>
  <si>
    <t>«Անտառային մոնիտորինգի կենտրոն» ՊՈԱԿ</t>
  </si>
  <si>
    <t>«Երևանի կենդանաբանական այգի» ՀՈԱԿ</t>
  </si>
  <si>
    <t>«Հիդրոօդերևութաբանության և մթնոլորտային երևույթների վրա ակտիվ ներգործության ծառայություն» ՊՈԱԿ</t>
  </si>
  <si>
    <t>2.  Ստացվող նվիրատվություններից</t>
  </si>
  <si>
    <t>Կովկասի բնության հիմնադրամից ստացված դրամաշնորհային միջոցներից, այդ թվում`</t>
  </si>
  <si>
    <t>ՄԱԿ-ից ստացված դրամաշնորհային միջոցներից, այդ թվում`</t>
  </si>
  <si>
    <t>Վայրի Բնության և մշակութային արժեքների պահպանման հիմնադրամից ստացված դրամաշնորհային միջոցներից, այդ թվում`</t>
  </si>
  <si>
    <t xml:space="preserve">Նվիրատվություններ անհատներից, այդ թվում՝ </t>
  </si>
  <si>
    <t>(հազար դրամ)</t>
  </si>
  <si>
    <t>Հավելված N 8. Բյուջետային ծրագրերի/միջոցառումների գծով ծախսերը՝ վարչատարածքային բաժանմամբ (ըստ մարզերի)</t>
  </si>
  <si>
    <t>Երևան քաղաք</t>
  </si>
  <si>
    <t>ՀՀ Արարատի մարզ</t>
  </si>
  <si>
    <t>ՀՀ Արմավիրի մարզ</t>
  </si>
  <si>
    <t>ՀՀ Գեղարքունիքի մարզ</t>
  </si>
  <si>
    <t>ՀՀ Լոռու մարզ</t>
  </si>
  <si>
    <t>ՀՀ Սյունիքի մարզ</t>
  </si>
  <si>
    <t>ՀՀ Վայոց Ձորի մարզ</t>
  </si>
  <si>
    <t>ՀՀ Տավուշի մարզ</t>
  </si>
  <si>
    <t>ՀՀ Շիրակի մարզ</t>
  </si>
  <si>
    <t>ՀՀ Կոտայքի մարզ</t>
  </si>
  <si>
    <t>ՀՀ Արագածոտնի մարզ</t>
  </si>
  <si>
    <t>Շենքերի և կառույցների ընթացիկ նորոգում և պահպանում</t>
  </si>
  <si>
    <t>Մեքենաների և սարքավորումների ընթացիկ նորոգում և պահպանում</t>
  </si>
  <si>
    <t>Տրանսպորտային նյութեր</t>
  </si>
  <si>
    <t>Հատուկ նպատակային այլ նյութեր</t>
  </si>
  <si>
    <t>2022թ բյուջե (հազ. դրամ)</t>
  </si>
  <si>
    <t>2020թ.-ի համեմատ</t>
  </si>
  <si>
    <t>ՀՀ 2019թ.-ի պետական բյուջեի տարբերությունը
 /հազ.դրամ/</t>
  </si>
  <si>
    <t>2021թ.-ի համեմատ</t>
  </si>
  <si>
    <t>2022թ.-ի համեմատ</t>
  </si>
  <si>
    <t>Այլ մեքենաներ և սարքավորումներ</t>
  </si>
  <si>
    <t>Հավելված N 10. Ամփոփ ֆինանսական պահանջներ ՄԺԾԾ ժամանակահատվածի համար</t>
  </si>
  <si>
    <t>Ծրագրի/միջոցառման անվանումը</t>
  </si>
  <si>
    <t>Գոյություն ունեցող պարտավորությունների  գծով հաշվարկված (ճշգրտված) ծախսերը[1] (հազ. դրամ)</t>
  </si>
  <si>
    <t>Ծախսային խնայողության գծով ամփոփ առաջարկը[2] (հազ. դրամ) (-)</t>
  </si>
  <si>
    <t>Նոր նախաձեռնություններ</t>
  </si>
  <si>
    <t>Միջոցառման գծով ամփոփ ծախսերը [3] (հազ. դրամ)</t>
  </si>
  <si>
    <t>(հազ. դրամ) (+)</t>
  </si>
  <si>
    <t>2021թ</t>
  </si>
  <si>
    <t>2022թ</t>
  </si>
  <si>
    <t>Պարտադիր ծախսերին դասվող միջոցառումներ</t>
  </si>
  <si>
    <t>3.2 Ծախսային խնայողությունների գծով առաջարկները (-) նշանով</t>
  </si>
  <si>
    <t>3.3 Նոր նախաձեռնությունների գծով ընդհանուր ծախսերը</t>
  </si>
  <si>
    <t>Հավելված N 9. Արտաքին աղբյուրներից բյուջետային խողովակներով ստացվող նպատակային վարկերի և դրամաշնորհների հաշվին իրականացվելիք ծրագրերը</t>
  </si>
  <si>
    <t>Աղյուսակ 1. Արտաքին աղբյուրներից բյուջետային խողովակներով ստացվող նպատակային վարկերի և դրամաշնորհների հաշվին իրականացվելիք ծախսերը</t>
  </si>
  <si>
    <t>Ծրագրով նախատեսված ամբողջ գումարը</t>
  </si>
  <si>
    <t>Կատարողականն առ. 01.01.2019թ. դրությամբ</t>
  </si>
  <si>
    <t>Մնացորդ</t>
  </si>
  <si>
    <t>Ծրագրի սկիզբն ըստ համապատասխան համաձայնագրի</t>
  </si>
  <si>
    <t>Ծրագրի ավարտն ըստ համապատասխան համաձայնագրի (ներառյալ փոփոխությունները)</t>
  </si>
  <si>
    <t>Արտաքին միջոցներ</t>
  </si>
  <si>
    <t>ՀՀ կառ. համաֆինանսավորում</t>
  </si>
  <si>
    <t>Վարկային ծրագրեր</t>
  </si>
  <si>
    <t>......</t>
  </si>
  <si>
    <t>Դրամաշնորհային ծրագրեր</t>
  </si>
  <si>
    <t>Աղյուսակ 2. Արտաքին աղբյուրներից բյուջետային խողովակներով ստացվող վարկերի հաշվին իրականացվելիք ծրագրերի շրջանակներում հիմնական գումարի մարման և ֆինանսական ակտիվների ձեռքբերման գծով ծախսերը</t>
  </si>
  <si>
    <t>Առաջին եռամսյակ</t>
  </si>
  <si>
    <t>Երկրորդ եռամսյակ</t>
  </si>
  <si>
    <t>Երրորդ եռամսյակ</t>
  </si>
  <si>
    <t>Չորրորդ եռամսյակ</t>
  </si>
  <si>
    <t>Տարի</t>
  </si>
  <si>
    <t>ՀՀ կառ. Համաֆինանսավորում</t>
  </si>
  <si>
    <t xml:space="preserve">Ձև N  2 </t>
  </si>
  <si>
    <t>Կառավարման  ապարատ</t>
  </si>
  <si>
    <t>խումբ</t>
  </si>
  <si>
    <t>դաս</t>
  </si>
  <si>
    <t xml:space="preserve"> /հազ. դրամ/</t>
  </si>
  <si>
    <t xml:space="preserve"> Ծրագրային դասիչը</t>
  </si>
  <si>
    <t>2021թ. բյուջետային հայտ</t>
  </si>
  <si>
    <t xml:space="preserve"> Ծրագիր</t>
  </si>
  <si>
    <t xml:space="preserve"> Միջոցառում</t>
  </si>
  <si>
    <t>կոդը</t>
  </si>
  <si>
    <t>Բյուջետային ծախսերի տնտ. դասակարգման հոդվածի անվանումը</t>
  </si>
  <si>
    <t xml:space="preserve">  փաստացի  կատարո ղական</t>
  </si>
  <si>
    <t>հաստատված բյուջե</t>
  </si>
  <si>
    <t>բյուջետային  հայտ</t>
  </si>
  <si>
    <t xml:space="preserve">Հիմնավորումներ 8-րդ սյունակում ներկայացված փոփոխությունների վերաբերյալ  </t>
  </si>
  <si>
    <t>1173</t>
  </si>
  <si>
    <t>Հաստիքային  միավորների  թիվը</t>
  </si>
  <si>
    <t>Ծառայողական  ավտոմեքենաների  քանակը</t>
  </si>
  <si>
    <t>ԸՆԴԱՄԵՆԸ  ԾԱԽՍԵՐ</t>
  </si>
  <si>
    <t>այդ  թվում՝</t>
  </si>
  <si>
    <t>ԸՆԹԱՑԻԿ  ԾԱԽՍԵՐ</t>
  </si>
  <si>
    <t>այդ  թվում`</t>
  </si>
  <si>
    <r>
      <t>ԱՇԽԱՏԱՆՔԻ  ՎԱՐՁԱՏՐՈՒԹՅՈՒՆ</t>
    </r>
    <r>
      <rPr>
        <b/>
        <sz val="12"/>
        <color indexed="10"/>
        <rFont val="GHEA Grapalat"/>
        <family val="3"/>
      </rPr>
      <t xml:space="preserve">  </t>
    </r>
  </si>
  <si>
    <t xml:space="preserve">  4111</t>
  </si>
  <si>
    <t xml:space="preserve"> -Աշխատողների աշխատավարձեր և հավելավճարներ</t>
  </si>
  <si>
    <t xml:space="preserve">  4112</t>
  </si>
  <si>
    <t xml:space="preserve"> - Պարգևատրումներ, դրամական խրախուսումներ և հատուկ վճարներ</t>
  </si>
  <si>
    <t>4113</t>
  </si>
  <si>
    <t xml:space="preserve"> -Քաղաքացիական, դատական և պետական ծառայողների պարգևատրում </t>
  </si>
  <si>
    <t>Էներգետիկ ծառայություններ</t>
  </si>
  <si>
    <t>Էլեկտրաէներգիայով ջեռուցման ծառայություններ</t>
  </si>
  <si>
    <t>Գազով ջեռուցման ծառայություններ</t>
  </si>
  <si>
    <t>Կոմունալ ծառայություններ</t>
  </si>
  <si>
    <t>Ջրամատակարարման և ջրահեռացման ծառայություններ</t>
  </si>
  <si>
    <t>Շենքերի պահպանման ծառայություններ /դեռատիզացիա/</t>
  </si>
  <si>
    <t>Կապի ծառայություններ</t>
  </si>
  <si>
    <t>Ապահովագրական ծախսեր</t>
  </si>
  <si>
    <t>Գույքի և սարքավորումների վարձակալություն</t>
  </si>
  <si>
    <t>Արտագերատեսչական ծախսեր</t>
  </si>
  <si>
    <t>Ծառայողական գործուղումների գծով ծախսեր</t>
  </si>
  <si>
    <t>Ներքին  գործուղումներ</t>
  </si>
  <si>
    <t>Արտասահմանյան գործուղումների գծով ծախսեր</t>
  </si>
  <si>
    <t>Վարչական ծառայություններ</t>
  </si>
  <si>
    <t>Համակարգչային ծառայություններ</t>
  </si>
  <si>
    <t>Աշխատակազմի մասնագիտական զարգացման ծառայություններ</t>
  </si>
  <si>
    <t>Տեղեկատվական ծառայություններ</t>
  </si>
  <si>
    <t>Կառավարչական ծառայություններ</t>
  </si>
  <si>
    <t>Կենցաղային և հանրային սննդի ծառայություններ</t>
  </si>
  <si>
    <t>Ներկայացուցչական  ծախսեր</t>
  </si>
  <si>
    <t>Ընդհանուր բնույթի այլ ծառայություններ</t>
  </si>
  <si>
    <t>Մասնագիտական ծառայություններ</t>
  </si>
  <si>
    <t>Ավտոմեքենաների ընթացիկ նորոգում և պահպանում</t>
  </si>
  <si>
    <t>Սարքավորումների ընթացիկ նորոգում և պահպանում</t>
  </si>
  <si>
    <t>Գրասենյակային նյութեր և հագուստ</t>
  </si>
  <si>
    <t>Գրասենյակային պիտույքներ</t>
  </si>
  <si>
    <t>Հագուստ և համազգեստ</t>
  </si>
  <si>
    <t xml:space="preserve">Գյուղատնտեսական ապրանքներ </t>
  </si>
  <si>
    <t>Առողջապահական և լաբորատոր նյութեր</t>
  </si>
  <si>
    <t xml:space="preserve">Կենցաղային և հանրային սննդի նյութեր </t>
  </si>
  <si>
    <t>Սուբսիդիաներ ոչ ֆինանսական պետական կազմակերպություններին</t>
  </si>
  <si>
    <t>Ընթացիկ դրամաշնորհներ միջազգային կազմակերպություններին</t>
  </si>
  <si>
    <t>Ընթացիկ դրամաշնորհներ պետական կառավարման հատվածին</t>
  </si>
  <si>
    <t>Ընթացիկ սուբվենցիաներ համայնքներին</t>
  </si>
  <si>
    <t>4639</t>
  </si>
  <si>
    <t>Այլ ընթացիկ դրամաշնորհներ</t>
  </si>
  <si>
    <t>Այլ նպաստներ բյուջեից</t>
  </si>
  <si>
    <t>Այլ հարկեր</t>
  </si>
  <si>
    <t>Պարտադիր վճարներ</t>
  </si>
  <si>
    <t>ավտոմեքենաների տեխզննություն և բնապահպանական վճար</t>
  </si>
  <si>
    <t>աղբահանություն</t>
  </si>
  <si>
    <t>այլ</t>
  </si>
  <si>
    <t>4824</t>
  </si>
  <si>
    <t>Պետական հատվածի տարբեր մակարդակների կողմից միմյանց նկատմամբ կիրառվող տույժեր</t>
  </si>
  <si>
    <t>Այլ  ծախսեր</t>
  </si>
  <si>
    <t>Պահուստային միջոցներ</t>
  </si>
  <si>
    <t xml:space="preserve"> ՈՉ ՖԻՆԱՆՍԱԿԱՆ ԱԿՏԻՎՆԵՐԻ ԳԾՈՎ ԾԱԽՍԵՐ</t>
  </si>
  <si>
    <t>Շենքերի և շինությունների կապիտալ վերանորոգում</t>
  </si>
  <si>
    <t xml:space="preserve">Տրանսպորտային սարքավորումներ </t>
  </si>
  <si>
    <t>Վարչական  սարքավորումներ</t>
  </si>
  <si>
    <t xml:space="preserve">Ոչ նյութական հիմնական միջոցներ </t>
  </si>
  <si>
    <t>1071</t>
  </si>
  <si>
    <t>Նախատեսվում է տրանսպորտային պարկի նորացում՝ դուրսգրման և նորերի ձեռքբերման ճանապարհով</t>
  </si>
  <si>
    <t>Համաձայն հաշվարկի</t>
  </si>
  <si>
    <t>Գործող ավտոպարկի նորացում</t>
  </si>
  <si>
    <t>Տեխնիկական զինման բնականոն ընթացքի ապահովում</t>
  </si>
  <si>
    <t>Ռազմական դրության ժամանակ (կապի հնարավոր խափանման դեպքում) քաղաքացիական պաշտպանության կառավարման համակարգի բնականոն ընթացքի ապահովում</t>
  </si>
  <si>
    <t>ՀՀ առաջին փոխվարչապետի 09.01.2019թ. N 2-Ն որոշման 33 կետ</t>
  </si>
  <si>
    <t>2023թ.</t>
  </si>
  <si>
    <t>2019թ փաստ. (հազ. դրամ)</t>
  </si>
  <si>
    <t>2020թ սպասվող (հազ. դրամ)</t>
  </si>
  <si>
    <t>2023թ բյուջե (հազ. դրամ)</t>
  </si>
  <si>
    <t>2020 թվականի սպասողական</t>
  </si>
  <si>
    <t xml:space="preserve">1. Պետական մարմնի գծով 2020-2021 ՄԺԾԾ-ով հաստատված և 2023թ. համար սահմանված ֆինանսավորման ընդհանուր կողմնորոշիչ  չափաքանակները </t>
  </si>
  <si>
    <t>2. &lt;&lt;ՀՀ 2020թ. պետական բյուջեի մասին&gt;&gt; ՀՀ օրենքով պետական մարմնի գծով սահմանված ընդհանուր հատկացումները</t>
  </si>
  <si>
    <t>3. Ընդամենը հայտով ներկայացված ընդհանուր ծախսերը` 2021-2023 թթ. ՄԺԾԾ համար (տող 3.1 + տող 3.2 + տող 3.3.)</t>
  </si>
  <si>
    <t>3.1 Գոյություն ունեցող ծախսային պարտավորությունների գնահատում 2021-2023 թթ. ՄԺԾԾ համար (առանց ծախսային խնայողությունների վերաբերյալ առաջարկների ներառման)</t>
  </si>
  <si>
    <t>4. Տարբերությունը ՀՀ 2020թ. պետական բյուջեի համապատասխան ցուցանիշից (տող 3 - տող 2)</t>
  </si>
  <si>
    <t>5. Տարբերությունը 2020-2021 ՄԺԾԾ-ով հաստատված և 2023թ. համար սահմանված ֆինանսավորման կողմնորոշիչ չափաքանակներից (տող 3-տող 1)</t>
  </si>
  <si>
    <t>ՏԵՂԵԿԱՆՔ</t>
  </si>
  <si>
    <t>Դասիչը</t>
  </si>
  <si>
    <t xml:space="preserve"> Շրջակա միջավայրի նախարարության կողմից պետական բյուջեի ֆինանսավորմամբ իրականացվող ծրագրերն ու միջոցառումները</t>
  </si>
  <si>
    <t>ՀՀ 2018թ. բյուջե</t>
  </si>
  <si>
    <t>Ծրագրի</t>
  </si>
  <si>
    <t>Միջոցառման</t>
  </si>
  <si>
    <t>փաստ</t>
  </si>
  <si>
    <t>Ընդամենը շրջակա միջավայրի  նախարարություն
այդ թվում`</t>
  </si>
  <si>
    <t>Ընթացիկ</t>
  </si>
  <si>
    <t>Կապիտալ</t>
  </si>
  <si>
    <t>Ցուցանիշը առանց KFW-ի դրամաշնորհի</t>
  </si>
  <si>
    <t xml:space="preserve"> Գերմանիայի զարգացման վարկերի բանկի (KFW)  դրամաշնորհային ծրագիր </t>
  </si>
  <si>
    <t xml:space="preserve"> Շրջակա միջավայրի վրա ազդեցության գնահատում և մոնիթորինգ</t>
  </si>
  <si>
    <t xml:space="preserve"> Շրջակա միջավայրի մոնիթորինգ և տեղեկատվության ապահովում</t>
  </si>
  <si>
    <t xml:space="preserve"> 1071</t>
  </si>
  <si>
    <t xml:space="preserve"> 1133</t>
  </si>
  <si>
    <t xml:space="preserve"> Բնապահպանական ծրագրերի իրականացում համայնքներում</t>
  </si>
  <si>
    <t xml:space="preserve"> Բնապահպանական սուբվենցիաներ համայնքներին</t>
  </si>
  <si>
    <t xml:space="preserve"> 1155</t>
  </si>
  <si>
    <t xml:space="preserve"> Բնական պաշարների և բնության հատուկ պահպանվող տարածքների կառավարում և պահպանում</t>
  </si>
  <si>
    <t xml:space="preserve">Գերմանիայի զարգացման վարկերի բանկի (KFW)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  </t>
  </si>
  <si>
    <t xml:space="preserve"> Սևանա լճի ջրածածկ անտառտնկարկների մաքրում</t>
  </si>
  <si>
    <t xml:space="preserve"> Սևանա լճում և նրա ջրահավաք ավազանում ձկան և խեցգետնի պաշարների հաշվառում</t>
  </si>
  <si>
    <t xml:space="preserve"> «Սևան» ազգային պարկի պահպանության, պարկում գիտական ուսումնասիրությունների, անտառատնտեսական աշխատանքների կատարում</t>
  </si>
  <si>
    <t xml:space="preserve"> «Դիլիջան» ազգային պարկի պահպանության, պարկում գիտական ուսումնասիրությունների, անտառատնտեսական աշխատանքների կատարում</t>
  </si>
  <si>
    <t xml:space="preserve"> Արգելոցապարկային համալիր ԲՀՊ տարածքների պահպանության, գիտական ուսումնասիրությունների, անտառատնտեսական աշխատանքների կատարում</t>
  </si>
  <si>
    <t xml:space="preserve"> «Խոսրովի անտառ» պետական արգելոցի պահպանության, գիտական ուսումնասիրությունների կատարում</t>
  </si>
  <si>
    <t xml:space="preserve"> Զանգեզուր կենսոլորտային համալիր ԲՀՊ տարածքների պահպանության, գիտական ուսումնասիրությունների, անտառատնտեսական աշխատանքների կատարում</t>
  </si>
  <si>
    <t xml:space="preserve">Գերմանիայի զարգացման վարկերի բանկի (KFW) կողմից տրամադրվող դրամաշնորհային ծրագրի շրջանակներում ՀՀ Սյունիքի մարզի բնության հատուկ պահպանվող տարածքների հարակից համայնքների սոցիալ-տնտեսական վիճակի բարելավմանն ուղղված աջակցություն  </t>
  </si>
  <si>
    <t xml:space="preserve"> 1173</t>
  </si>
  <si>
    <t xml:space="preserve"> Անտառների կառավարում</t>
  </si>
  <si>
    <t xml:space="preserve"> Անտառային ոլորտում քաղաքականության մշակման և աջակցության ծառայությունների ծրագրերի համակարգում</t>
  </si>
  <si>
    <t xml:space="preserve"> Անտառների կադաստրի վարում</t>
  </si>
  <si>
    <t xml:space="preserve"> Անտառների վնասակար օրգանիզմների դեմ պայքար</t>
  </si>
  <si>
    <t xml:space="preserve"> Անտառային պետական մոնիտորինգի իրականացում</t>
  </si>
  <si>
    <t xml:space="preserve"> Անտառվերականգնման և անտառապատման աշխատանքներ</t>
  </si>
  <si>
    <t xml:space="preserve"> 1186</t>
  </si>
  <si>
    <t xml:space="preserve"> Բնագիտական նմուշների պահպանություն և ցուցադրություն</t>
  </si>
  <si>
    <t xml:space="preserve"> Կենդանաբանական այգու ցուցադրություններ</t>
  </si>
  <si>
    <t>ՀՀ 2020թ. բյուջե (հաստատված)</t>
  </si>
  <si>
    <t>ՀՀ 2019թ. բյուջե (փաստացի)</t>
  </si>
  <si>
    <t>Շրջակա միջավայրի ոլորտում պետական քաղաքականության մշակում« ծրագրերի համակարգում և մոնիտորինգ</t>
  </si>
  <si>
    <t xml:space="preserve"> Շրջակա միջավայրի ոլորտում քաղաքականության մշակում, ծրագրերի համակարգում և մոնիտորինգ</t>
  </si>
  <si>
    <t>Շրջակա միջավայրի ոլորտի ծրագրերի իրականացում</t>
  </si>
  <si>
    <t>ՀՀ շրջակա միջավայրի նախարարության տեխնիկական կարողությունների ընդլայնում</t>
  </si>
  <si>
    <t>«Արփի լիճ» ազգային պարկի պահպանության« պարկում գիտական ուսումնասիրությունների կատարում</t>
  </si>
  <si>
    <t xml:space="preserve"> «Զիկատար» պետական արգելավայրի պահպանություն</t>
  </si>
  <si>
    <t xml:space="preserve"> ՀՀ շրջակա միջավայրի նախարարության Անտառային կոմիտեի տեխնիկական կարողությունների ընդլայնում</t>
  </si>
  <si>
    <t>ՀՀ շրջակա միջավայրի նախարարության Անտառային կոմիտեի շենքային պայմանների բարելավում</t>
  </si>
  <si>
    <t>2019թ  փաստացի (հազ. դրամ)</t>
  </si>
  <si>
    <t>Ծրագրի /միջոցառում անվանումը</t>
  </si>
  <si>
    <r>
      <rPr>
        <b/>
        <i/>
        <sz val="8"/>
        <rFont val="GHEA Grapalat"/>
        <family val="3"/>
      </rPr>
      <t>5122</t>
    </r>
    <r>
      <rPr>
        <i/>
        <sz val="8"/>
        <rFont val="GHEA Grapalat"/>
        <family val="3"/>
      </rPr>
      <t xml:space="preserve">
Վարչական սարքավորումներ</t>
    </r>
  </si>
  <si>
    <r>
      <rPr>
        <b/>
        <i/>
        <sz val="8"/>
        <rFont val="GHEA Grapalat"/>
        <family val="3"/>
      </rPr>
      <t>5129</t>
    </r>
    <r>
      <rPr>
        <i/>
        <sz val="8"/>
        <rFont val="GHEA Grapalat"/>
        <family val="3"/>
      </rPr>
      <t xml:space="preserve">
Այլ մեքենաներ և սարքավորումներ</t>
    </r>
  </si>
  <si>
    <r>
      <rPr>
        <b/>
        <i/>
        <sz val="8"/>
        <rFont val="GHEA Grapalat"/>
        <family val="3"/>
      </rPr>
      <t>4657</t>
    </r>
    <r>
      <rPr>
        <i/>
        <sz val="8"/>
        <rFont val="GHEA Grapalat"/>
        <family val="3"/>
      </rPr>
      <t xml:space="preserve">
Այլ կապիտալ դրամաշնորհներ </t>
    </r>
  </si>
  <si>
    <t>2020թ բյուջե (հազ. դրամ</t>
  </si>
  <si>
    <t>Հիդրոօդերևութաբանական ծառայություններ</t>
  </si>
  <si>
    <r>
      <rPr>
        <b/>
        <i/>
        <sz val="8"/>
        <rFont val="GHEA Grapalat"/>
        <family val="3"/>
      </rPr>
      <t>5112</t>
    </r>
    <r>
      <rPr>
        <i/>
        <sz val="8"/>
        <rFont val="GHEA Grapalat"/>
        <family val="3"/>
      </rPr>
      <t xml:space="preserve">
Շենքերի և շինությունների կառուցում</t>
    </r>
  </si>
  <si>
    <t>Գերմանիայի զարգացման վարկերի բանկի (KFW) աջակցությամբ իրականացվող դրամաշնորհային ծրագրի շրջանակներում Սյունիքի մարզի ԲՀՊՏ-ներին, անտառային տարածքների, ոլորտի պետական կառույցների տեխնիկական կարողությունների բարելավում</t>
  </si>
  <si>
    <t>Գերմանիայի զարգացման վարկերի բանկի (KFW) կողմից տրամադրվող դրամաշնորհային ծրագրի շրջանակներում ՀՀ Սյունիքի մարզի բնության հատուկ պահպանվող տարածքների հարակից համայնքների սոցիալ-տնտեսական վիճակի բարելավմանն ուղղված աջակցություն</t>
  </si>
  <si>
    <t>Գերմանիայի զարգացման վարկերի բանկի (KFW)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t>
  </si>
  <si>
    <t>ՀՀ 2021-2023 ՄԺԾԾ  բյուջետային հայտ</t>
  </si>
  <si>
    <t>ՀՀ 2021-2023թթ. ՄԺԾԾ  հայտի և ՀՀ2020թ. հաստատված բյուջեի տարբերությունը</t>
  </si>
  <si>
    <t>2022թ բյուջե (հազ. դրամ</t>
  </si>
  <si>
    <t>2023թ բյուջե (հազ. դրամ</t>
  </si>
  <si>
    <t>2020թ փաստ. (հազ. դրամ)</t>
  </si>
  <si>
    <t>2021թ փաստ. (հազ. դրամ)</t>
  </si>
  <si>
    <t>2022թ փաստ. (հազ. դրամ)</t>
  </si>
  <si>
    <t>2023թ փաստ. (հազ. դրամ)</t>
  </si>
  <si>
    <t>2023թ</t>
  </si>
  <si>
    <t>Կատարողականն առ. 01.01.2020թ. դրությամբ</t>
  </si>
  <si>
    <t>2019թ. փաստ.</t>
  </si>
  <si>
    <t>2020թ. բյուջե</t>
  </si>
  <si>
    <t>2021թ. բյուջե</t>
  </si>
  <si>
    <t>4861 Այլ ծախսեր</t>
  </si>
  <si>
    <t>4819 Նվիրաբերություն</t>
  </si>
  <si>
    <t>5111- Շենքերի և շինությունների ձեռքբերում</t>
  </si>
  <si>
    <t>5112-Շենքերի կառուցում</t>
  </si>
  <si>
    <t>5113- Շենքերի և շինությունների կապիտալ վերանորոգում</t>
  </si>
  <si>
    <t>5121- Տրանսպորտային սարքավորումներ</t>
  </si>
  <si>
    <t>5122-Վարչական սարքավորումներ</t>
  </si>
  <si>
    <t>5129-Այլ սարքավորումներ</t>
  </si>
  <si>
    <t>5133- Գեոդեզիական  քարտեզագրական ծախսեր</t>
  </si>
  <si>
    <t>5134- Նախագծահետազոտական ծախսեր</t>
  </si>
  <si>
    <t>.</t>
  </si>
  <si>
    <t>Հավելված N 11. Արտաքին աղբյուրներից բյուջետային խողովակներով ստացվող նպատակային վարկերի և դրամաշնորհների հաշվին իրականացվելիք ծրագրերի գծով 2021թ. ամփոփ բյուջետային ֆինանսավորումը</t>
  </si>
  <si>
    <t>Աղյուսակ 1. Արտաքին աղբյուրներից բյուջետային խողովակներով ստացվող նպատակային վարկերի և դրամաշնորհների հաշվին 2021թ. իրականացվելիք ծախսերը</t>
  </si>
  <si>
    <t xml:space="preserve">2020թ. սպասողական </t>
  </si>
  <si>
    <t>Ծրագրի գծով 2021-2023թթ ՄԺԾԾ-ով 2020թ. համար նախատեսված չափաքանակները (գոյություն ունեցող պարտավորություններ)</t>
  </si>
  <si>
    <t>Հայտի և 2021-2023թթ ՄԺԾԾ-ով 2020թ. համար նախատեսված չափաքանակի տարբերության պարզաբանումը</t>
  </si>
  <si>
    <t>22.05.2015</t>
  </si>
  <si>
    <t>20.06.2021</t>
  </si>
  <si>
    <t>Պահպանվող Տարածքների աջակցման  ծրագիրն երկարաձգվել է 2019 թ-ի ընթացքում ՀՀ շրջակա միջավայրի նախարությունում տեղի ունեցած քննարկումների արդյունքում՝ 23.10.2019թ-ին ՀՀ ՇՄՆ գլխավոր քարտուղարի պաշտոնակատար Վ. Ջիլավյանի կողմից KfW ուղարկված նամակի և KfW բանկից 12.11.2019 թ-ին ստացված պատասխանի հիման վրա</t>
  </si>
  <si>
    <t>Աղյուսակ 2. Արտաքին աղբյուրներից բյուջետային խողովակներով ստացվող նպատակային վարկային և դրամաշնորհային ծրագրերի 2021 թվականի ամփոփ բյուջետային ֆինանսավորման հայտը (ըստ եռամսյակային բաշխումների)</t>
  </si>
  <si>
    <t>Փաստացի ըստ 2019 թվականի տարեկան  հաշվետվության (փաստացի)</t>
  </si>
  <si>
    <t>Պոլիքլորացված դիֆենիներ պարունակող յուղերի հաշվառում</t>
  </si>
  <si>
    <t>Կայուն օրգանական աղտոտիչների մասին BAT և BEP ցուցադրության նախագիծ</t>
  </si>
  <si>
    <t>Սնդիկի հավելիչներով արտադրանքի շրջանառությունից փուլային դուրս բերման ծրագիր</t>
  </si>
  <si>
    <t>41050.1</t>
  </si>
  <si>
    <t>Աղյուսակ 1.  Ծրագրերի և միջոցառումների գծով ամփոփ ֆինանսական պահանջներ 2021-2023 թթ համար</t>
  </si>
  <si>
    <t>Աղյուսակ 2. Հայտով ներկայացված՝ 2021-2023թթ ընդհանուր ծախսերի համեմատությունը ՀՀ 2020թ. պետական բյուջեի և 2020-2022թթ. ՄԺԾԾ հետ</t>
  </si>
  <si>
    <r>
      <t xml:space="preserve">Հայտատուի  անվանումը   </t>
    </r>
    <r>
      <rPr>
        <b/>
        <u/>
        <sz val="12"/>
        <rFont val="GHEA Grapalat"/>
        <family val="3"/>
      </rPr>
      <t>Շրջակա միջավայրի նախարարություն</t>
    </r>
  </si>
  <si>
    <t>հայտի տարբերությունը 2020թ. հաստատվածի նկատմամբ</t>
  </si>
  <si>
    <t>հայտի տարբերությունը 2019թ. փաստացի կատարողականի նկատմամբ</t>
  </si>
  <si>
    <t>1. 2021թ. հայտի տարբերությունը 2020թ. հաստատվածի նկատմամբ պայմանա-վորված է  քաղաքացիական ծառայողների աշխատավարձի բնականոն աճով  
2. 2021թ. հայտի տարբերությունը 2019թ. փաստացի կատարողականի նկատմամբ պայմանավորված է կառավարության 2019 թվականի դեկտեմբերի  12-ի N 1811-Ն որոշմամբ, համաձայն որի՝ շրջակա միջավայրի նախարարության   1173 ծրագրի 11001 միջոցառման 50.0 մլն դրամը վերաբաշխվել է՝ ուղղվելով  1071 ծրագրի 11001 միջոցառման 4111 հոդվածին:</t>
  </si>
  <si>
    <t xml:space="preserve">Պայմանավորված է  քաղաքացիական ծառայողների աշխատավարձի բնականոն աճով  
</t>
  </si>
  <si>
    <t>4114</t>
  </si>
  <si>
    <t xml:space="preserve">- Հարկային և մաքսային մարմինների աշխատողների պարգևատրում </t>
  </si>
  <si>
    <t>Պայմանավորված է օդորակիչների, կենցաղային սարքերի, սերվերների քանակի ավելացմամբ, ինչպես նաև սերվերային համակարգերի շուրջօրյա աշխատանքն ապահովելու նպատակով օդափոխության համակարգի ներդրմամբ</t>
  </si>
  <si>
    <t>1./ՀԾ աշխատավարձ և կադրային գործ /ֆինանսների նախ. 24.01.2020թ. N01.1/27-3/662-2020 գրություն
2.Կարմի գրքի հեռախոսային հավելվածի սպասարկում</t>
  </si>
  <si>
    <t>Բավարարված վճիռների դատական ծախսեր, փորձաքննական եզրակացություններ ստանալու, ինչպես նաև դատական և փաստաբանական ծախսերը փոխհատուցելու նպատակով</t>
  </si>
  <si>
    <t xml:space="preserve">Համաձայն հաշվարկի
Պայմանավորված է մեկ աշխատողին բաժին ընկնող պիտույքների քանակով, ինչպես նաև նոր ապրանքների գնման անհրաժեշտությամբ </t>
  </si>
  <si>
    <t>հիմք է հանդիսացել աշխատանքային պայմանների բարելավման պահանջը</t>
  </si>
  <si>
    <t>4637</t>
  </si>
  <si>
    <t>Ընթացիկ դրամաշնորհներ պետական և համայնքների ոչ առևտրային կազմակերպություններին</t>
  </si>
  <si>
    <t xml:space="preserve"> Ընթացիկ դրամաշնորհներ պետական և համայնքային առևտրային կազմակերպություններին</t>
  </si>
  <si>
    <t>Տարեկան տեխզննում և պետհամարանիշների հնարավոր փոփոխության պետական տուրք</t>
  </si>
  <si>
    <t>Ձեռքբերվող նոր մեքենաների պետական գրանցման պարտադիր վճարներ և նախարարության անվան փոփոխության հետ կապված գործող 13 մեքենաների վերագրանցում</t>
  </si>
  <si>
    <t xml:space="preserve">Աճեցվող ակտիվներ </t>
  </si>
  <si>
    <t>Բնապահպանական ծրագրերի իրականացման գրասենյակ ՊՀ</t>
  </si>
  <si>
    <t>Հայտատուի  անվանումը      Անտառային կոմիտե</t>
  </si>
  <si>
    <t>Աշխատավարձի բնական աճով պայմանավորված՝ աշխատավարձի ֆոնդի աճ</t>
  </si>
  <si>
    <t>Աշխատավարձի բնական աճով պայմանավորված՝ աշխատավարձի պարգևատրման ֆոնդի աճ</t>
  </si>
  <si>
    <t>Տվյալների փաթեթային մշակման ծառայություններ 120,0 հազար,  ՀԾ տարեկան սպասարկում 190.0 հազար դրամ (4 տեղ), անտիվիրուս կասպերսկի 48*8000=384.0 հազար դրամ,  Էլ. Փոստի, և վեբ կայքի տարեկան սպասարկում` 70.0 հազար դրամ, Mulberry էլ. փաստաթղթաշրջանառության համակարգի տարեկան սպասարկման ծառայություններ 60.0*12=720.0 հազարն դրամ</t>
  </si>
  <si>
    <t>«Արփի լիճ» ազգային պարկի պահպանության« պարկում գիտական ուսումնասիրությունների, անտառատնտեսական աշխատանքների կատարում</t>
  </si>
  <si>
    <t xml:space="preserve"> «Զիկատար» պետական արգելավայրի պահպանության, գիտական ուսումնասիրությունների, անտառատնտեսական աշխատանքների կատարում</t>
  </si>
  <si>
    <t>*2021 թվականի համար գումարի հաշվարկաման հիմքում դրված են 2017 թվականին պետական բյուջե փաստացի մուտքագրված  բնապահպանական վճարները և  2018-2019 թվականների համար ներկայացված հաշվետվությունների բնապահպանական հարկի գումարները: Հաշվի առնելով, որ  ՙԸնկերությունների կողմից վճարվող բնապահպանական հարկի նպատակային օգտագործման մասին՚ ՀՀ օրենքում փոփոխություններ և լրացումներ կատարելու մասին՚ նախագիծը հավանության է արժանացել կառավարության նիստումª դրա ընդունումից հետո համայնքների կողմից համապատասխան ծրագրեր ներկայացնելու պարագայում, ներկայացված 2021-2023թթ համար հաշվարկված գումարները ենթակա կլինեն փոփոխության:</t>
  </si>
  <si>
    <t xml:space="preserve"> * Բնապահպանական ծրագրերի իրականացում համայնքներում</t>
  </si>
  <si>
    <t>Ì³é³ÛáõÃÛáõÝÝ»ñÇ Ù³ïáõóáõÙ</t>
  </si>
  <si>
    <t>ØÇçáó³éÙ³Ý ï»ë³ÏÁ՝</t>
  </si>
  <si>
    <t>²ç³ÏóáõÃÛáõÝ ºñ¨³ÝÇ ù³Õ³ù³ÛÇÝ Ñ³Ù³ÛÝùÇÝ Ùß³ÏáõÃ³ÛÇÝ Å³Ù³ÝóÇ ÙÇçáó³ñáõÙÝ»ñÇ Çñ³Ï³Ý³óÙ³Ý Ýå³ï³Ïáí</t>
  </si>
  <si>
    <t>ØÇçáó³éÙ³Ý ÝÏ³ñ³·ñáõÃÛáõÝÁ՝</t>
  </si>
  <si>
    <t>Î»Ý¹³Ý³µ³Ý³Ï³Ý ³Û·áõ óáõó³¹ñáõÃÛáõÝÝ»ñ</t>
  </si>
  <si>
    <t>ØÇçáó³éÙ³Ý ³Ýí³ÝáõÙÁ՝</t>
  </si>
  <si>
    <t>Ð³Û³ëï³ÝÇÝ µÝáñáß µÝáõÃÛ³Ý ûµÛ»ÏïÝ»ñÇ  ÝÙáõßÝ»ñÇ å³Ñå³ÝáõÙ, ýáÝ¹»ñÇ Ã³ñÙ³óáõÙ, ÝÙáõßÝ»ñÇ óáõó³Ñ³Ý¹»ëÝ»ñÇ Ï³½Ù³Ï»ñåáõÙ</t>
  </si>
  <si>
    <t>´Ý³·Çï³Ï³Ý ÝÙáõßÝ»ñÇ å³Ñå³ÝáõÃÛáõÝ ¨ óáõó³¹ñáõÃÛáõÝ</t>
  </si>
  <si>
    <t>ÀÝÃ³óÇÏ ÙÇçáó³éáõÙÝ»ñ</t>
  </si>
  <si>
    <t>Ìñ³·ñÇ ÙÇçáó³éáõÙÝ»ñ</t>
  </si>
  <si>
    <t>Øßï³Ï³Ý ¨ Å³Ù³Ý³Ï³íáñ óáõó³Ñ³Ý¹»ëÝ»ñÇ ÙÇçáóáí 
Ñ³í³ù³ÍáõÝ»ñÁ Ý»ñÏ³Û³óÝ»É Ñ³ÝñáõÃÛ³ÝÁ ¨ Çñ³Ï³Ý³óÝ»É 
µÝ³å³Ñå³Ý³Ï³Ý ù³ñá½ãáõÃÛáõÝ</t>
  </si>
  <si>
    <t>ì»ñçÝ³Ï³Ý ³ñ¹ÛáõÝùÇ ÝÏ³ñ³·ñáõÃÛáõÝÁ՝</t>
  </si>
  <si>
    <t>Üå³ëï»É µÝ³å³Ñå³Ý³Ï³Ý ³ßË³ñÑ³Û³óùÇ Ó¨³íáñÙ³ÝÁ, µÝ³ÏãáõÃÛ³Ý ¿ÏáÉá·Ç³Ï³Ý ¹³ëïÇ³ñ³ÏáõÃÛ³ÝÁ</t>
  </si>
  <si>
    <t>Ìñ³·ñÇ Ýå³ï³ÏÁ՝</t>
  </si>
  <si>
    <t>Ìñ³·ñÇ ³Ýí³ÝáõÙÁ՝</t>
  </si>
  <si>
    <t>Ìñ³·Çñ</t>
  </si>
  <si>
    <t>²ÛÉ å»ï³Ï³Ý Ï³½Ù³Ï»ñåáõÃÛáõÝÝ»ñÇ ÏáÕÙÇó û·ï³·áñÍíáÕ áã ýÇÝ³Ýë³Ï³Ý ³ÏïÇíÝ»ñÇ Ñ»ï ·áñÍ³éÝáõÃÛáõÝÝ»ñ</t>
  </si>
  <si>
    <t>²Ýï³éÏ³é³í³ñÙ³Ý åÉ³ÝÝ»ñÇ Ï³½ÙÙ³Ý ³ßË³ï³ÝùÝ»ñÇ Çñ³Ï³Ý³óáõÙ</t>
  </si>
  <si>
    <t>²Ýï³éÏ³é³í³ñÙ³Ý åÉ³ÝÝ»ñÇ Ï³½ÙáõÙ</t>
  </si>
  <si>
    <t>²Ýï³éí»ñ³Ï³Ý·ÝÙ³Ý ¨ ³Ýï³é³å³ïÙ³Ý ³ßË³ï³ÝùÝ»ñÇ Çñ³Ï³Ý³óáõÙ</t>
  </si>
  <si>
    <t xml:space="preserve">²Ýï³éí»ñ³Ï³Ý·ÝÙ³Ý ¨ ³Ýï³é³å³ïÙ³Ý ³ßË³ï³ÝùÝ»ñ </t>
  </si>
  <si>
    <t>ä»ï³Ï³Ý Ù³ñÙÇÝÝ»ñÇ ÏáÕÙÇó û·ï³·áñÍíáÕ áã ýÇÝ³Ýë³Ï³Ý ³ÏïÇíÝ»ñÇ Ñ»ï ·áñÍ³éÝáõÃÛáõÝÝ»ñ</t>
  </si>
  <si>
    <t>Þ»ÝùÇ ÑÇÙÝ³Ýáñá·áõÙ</t>
  </si>
  <si>
    <t>´Ý³å³Ñå³ÝáõÃÛ³Ý Ý³Ë³ñ³ñáõÃÛ³Ý ²Ýï³é³ÛÇÝ ÏáÙÇï»Ç ß»Ýù³ÛÇÝ å³ÛÙ³ÝÝ»ñÇ µ³ñ»É³íáõÙ</t>
  </si>
  <si>
    <t>Ð³Ù³Ï³ñ·ã³ÛÇÝ ë³ñù³íáñáõÙÝ»ñÇ ¨ ·ñ³ë»ÝÛ³Ï³ÛÇÝ ·áõÛùÇ Ó»éùµ»ñáõÙ</t>
  </si>
  <si>
    <t>´Ý³å³Ñå³ÝáõÃÛ³Ý Ý³Ë³ñ³ñáõÃÛ³Ý ²Ýï³é³ÛÇÝ ÏáÙÇï»Ç ï»ËÝÇÏ³Ï³Ý Ï³ñáÕáõÃÛáõÝÝ»ñÇ ÁÝ¹É³ÛÝáõÙ</t>
  </si>
  <si>
    <t>Ð³Ýñ³ÛÇÝ ë»÷³Ï³ÝáõÃÛ³Ý Ï³é³í³ñÙ³Ý ÙÇçáó³éáõÙÝ»ñ</t>
  </si>
  <si>
    <t>²Ýï³é³ÛÇÝ ï³ñ³ÍùÝ»ñÇ áõëáõÙÝ³ëÇñáõÃÛáõÝÝ»ñÇ ¨ Ù³ëÝ³ÏÇ ¹Çï³ñÏáõÙÝ»ñÇ ³ÝóÏ³óáõÙ</t>
  </si>
  <si>
    <t>²Ýï³é³ÛÇÝ å»ï³Ï³Ý ÙáÝÇïáñÇÝ·Ç Çñ³Ï³Ý³óáõÙ</t>
  </si>
  <si>
    <t>§Ð³Û³Ýï³é¦ äà²Î-Ç Ù³ëÝ³×ÛáõÕ»ñÇ ³Ýï³é³Í³ÍÏ ï³ñ³óùÝ»ñáõÙ íÝ³ë³ïáõÝ»ñÇ ¨ ÑÇí³Ý¹áõÃÛáõÝÝ»ñÇ ¹»Ù å³Ûù³ñ</t>
  </si>
  <si>
    <t>²Ýï³éÝ»ñÇ íÝ³ë³Ï³ñ ûñ·³ÝÇ½ÙÝ»ñÇ ¹»Ù å³Ûù³ñ</t>
  </si>
  <si>
    <t>²Ýï³éÝ»ñÇ Ñ³ßí³éáõÙ ¨ ³Ýï³é³ÛÇÝ å»ï³Ï³Ý Ï³¹³ëïñÇ í³ñáõÙ</t>
  </si>
  <si>
    <t>²Ýï³éÝ»ñÇ Ï³¹³ëïñÇ í³ñáõÙ</t>
  </si>
  <si>
    <t xml:space="preserve">§Ð³Û³Ýï³é¦ äà²Î-Ç Çñ³í³ëáõÃÛ³Ý Ý»ñùá ·ïÝíáÕ ³Ýï³é³ÛÇÝ ï³ñ³ÍùÝ»ñÇ å³Ñå³ÝáõÙ </t>
  </si>
  <si>
    <t>²Ýï³éå³Ñå³Ý³Ï³Ý Í³é³ÛáõÃÛáõÝÝ»ñ</t>
  </si>
  <si>
    <t>²Ýï³é³ÛÇÝ áÉáñïÇ ù³Õ³ù³Ï³ÝáõÃÛ³Ý Ùß³ÏÙ³Ý, ³ç³ÏóáõÃÛ³Ý ¨ Ñ³Ù³Ï³ñ·Ù³Ý Íñ³·ñ»ñ</t>
  </si>
  <si>
    <t>²Ýï³é³ÛÇÝ áÉáñïáõÙ ù³Õ³ù³Ï³ÝáõÃÛ³Ý Ùß³ÏÙ³Ý ¨ ³ç³ÏóáõÃÛ³Ý Í³é³ÛáõÃÛáõÝÝ»ñÇ, Íñ³·ñ»ñÇ Ñ³Ù³Ï³ñ·áõÙ</t>
  </si>
  <si>
    <t>Î³ÛáõÝ Ï³é³í³ñíáÕ ³Ýï³é³ÛÇÝ ï³ñ³ÍùÝ»ñÇ ³×</t>
  </si>
  <si>
    <t>²Ýï³é³ÛÇÝ ï³ñ³ÍùÝ»ñÇ Ï³ÛáõÝ Ï³é³í³ñáõÙ</t>
  </si>
  <si>
    <t>²Ýï³éÝ»ñÇ Ï³é³í³ñáõÙ</t>
  </si>
  <si>
    <t xml:space="preserve"> êÛáõÝÇùÇ Ù³ñ½Ç µÝáõÃÛ³Ý Ñ³ïáõÏ å³Ñå³ÝíáÕ ï³ñ³ÍùÝ»ñÇ ¨ ³Ýï³é³ÛÇÝ ï³ñ³ÍùÝ»ñÇ å³Ñå³ÝáõÃÛáõÝÝ Çñ³Ï³Ý³óÝáÕ å»ï³Ï³Ý Ï³½Ù³Ï»ñåáõÃÛáõÝÝ»ñÇ Ï³ñáÕáõÃÛáõÝÝ»ñÇ Ñ½áñ³óáõÙ</t>
  </si>
  <si>
    <t>¶»ñÙ³ÝÇ³ÛÇ ½³ñ·³óÙ³Ý í³ñÏ»ñÇ µ³ÝÏÇ (KFW) ÏáÕÙÇó ïñ³Ù³¹ñíáÕ ¹ñ³Ù³ßÝáñÑ³ÛÇÝ Íñ³·ñÇ ßñç³Ý³ÏÝ»ñáõÙ ÐÐ êÛáõÝÇùÇ Ù³ñ½Ç µÝáõÃÛ³Ý Ñ³ïáõÏ å³Ñå³ÝíáÕ ï³ñ³ÍùÝ»ñÇ å³Ñå³ÝáõÃÛáõÝÝ Çñ³Ï³Ý³óÝáÕ å»ï³Ï³Ý Ï³½Ù³Ï»ñåáõÃÛáõÝÝ»ñÇ Ï³ñáÕáõÃÛáõÝÝ»ñÇ ½³ñ·³óáõÙ</t>
  </si>
  <si>
    <t>îñ³Ýëý»ñïÝ»ñÇ ïñ³Ù³¹ñáõÙ</t>
  </si>
  <si>
    <t>ÐÐ êÛáõÝÇùÇ Ù³ñ½Ç µÝáõÃÛ³Ý Ñ³ïáõÏ å³Ñå³ÝíáÕ ï³ñ³ÍùÝ»ñÇ ¨ Ñ³ñ³ÏÇó Ñ³Ù³ÛÝùÝ»ñÇÝ ëáóÇ³É-ïÝï»ë³Ï³Ý íÇ×³ÏÇ µ³ñ»É³íÙ³Ý Ýå³ï³Ïáí ³ç³ÏóáõÃÛ³Ý óáõó³µ»ñáõÙ</t>
  </si>
  <si>
    <t>¶»ñÙ³ÝÇ³ÛÇ ½³ñ·³óÙ³Ý í³ñÏ»ñÇ µ³ÝÏÇ (KFW) ÏáÕÙÇó ïñ³Ù³¹ñíáÕ ¹ñ³Ù³ßÝáñÑ³ÛÇÝ Íñ³·ñÇ ßñç³Ý³ÏÝ»ñáõÙ ÐÐ êÛáõÝÇùÇ Ù³ñ½Ç  µÝáõÃÛ³Ý Ñ³ïáõÏ å³Ñå³ÝíáÕ ï³ñ³ÍùÝ»ñÇ Ñ³ñ³ÏÇó Ñ³Ù³ÛÝùÝ»ñÇ ëáóÇ³É-ïÝï»ë³Ï³Ý íÇ×³ÏÇ µ³ñ»É³íÙ³ÝÝ áõÕÕí³Í ³ç³ÏóáõÃÛáõÝ</t>
  </si>
  <si>
    <t>ÎáíÏ³ëÇ ï³ñ³Í³ßñç³Ý³ÛÇÝ µÝ³å³Ñå³Ý³Ï³Ý Ï»ÝïñáÝÇ Ñ³Û³ëï³ÝÛ³Ý Ù³ëÝ³×ÛáõÕÇ ·ñ³ë»ÝÛ³ÏÇ í³ñÓ³Ï³ÉáõÃÛ³Ý Í³é³ÛáõÃÛáõÝÝ»ñÇ ýÇÝ³Ýë³íáñáõÙ</t>
  </si>
  <si>
    <t>²ç³ÏóáõÃÛáõÝ ÎáíÏ³ëÇ ï³ñ³Í³ßñç³Ý³ÛÇÝ µÝ³å³Ñå³Ý³Ï³Ý Ï»ÝïñáÝÇ Ñ³Û³ëï³ÝÛ³Ý Ù³ëÝ³×ÛáõÕÇÝ</t>
  </si>
  <si>
    <t xml:space="preserve"> ´Ðä ï³ñ³ÍùÝ»ñáõÙ å³Ñå³ÝáõÃÛ³Ý, ·Çï³Ï³Ý áõëáõÙÝ³ëÇñáõÃÛáõÝÝ»ñÇ, ³Ýï³é³ïÝï»ë³Ï³Ý ³ßË³ï³ÝùÝ»ñÇ Çñ³Ï³Ý³óáõÙ</t>
  </si>
  <si>
    <t>¼³Ý·»½áõñ Ï»ÝëáÉáñï³ÛÇÝ Ñ³Ù³ÉÇñ ´Ðä ï³ñ³ÍùÝ»ñÇ å³Ñå³ÝáõÃÛ³Ý, ·Çï³Ï³Ý áõëáõÙÝ³ëÇñáõÃÛáõÝÝ»ñÇ, ³Ýï³é³ïÝï»ë³Ï³Ý ³ßË³ï³ÝùÝ»ñÇ Ï³ï³ñáõÙ</t>
  </si>
  <si>
    <r>
      <t>§¼ÇÏ³ï³ñ¦ å»ï³Ï³Ý ³ñ·»É³í³ÛñÇ å³Ñå³ÝáõÃÛ³Ý« ·Çï³Ï³Ý áõëáõÙÝ³ëÇñáõÃÛáõÝÝ»ñÇ</t>
    </r>
    <r>
      <rPr>
        <b/>
        <i/>
        <sz val="10"/>
        <color rgb="FF00B050"/>
        <rFont val="Arial Armenian"/>
        <family val="2"/>
      </rPr>
      <t xml:space="preserve">, ³Ýï³é³ïÝï»ë³Ï³Ý ³ßË³ï³ÝùÝ»ñÇ </t>
    </r>
    <r>
      <rPr>
        <i/>
        <sz val="10"/>
        <color theme="1"/>
        <rFont val="Arial Armenian"/>
        <family val="2"/>
      </rPr>
      <t>Çñ³Ï³Ý³óáõÙ</t>
    </r>
  </si>
  <si>
    <r>
      <t>§¼ÇÏ³ï³ñ¦ å»ï³Ï³Ý ³ñ·»É³í³ÛñÇ å³Ñå³ÝáõÃÛáõÝ</t>
    </r>
    <r>
      <rPr>
        <i/>
        <sz val="10"/>
        <color rgb="FF00B050"/>
        <rFont val="Arial Armenian"/>
        <family val="2"/>
      </rPr>
      <t>, ·Çï³Ï³Ý áõëáõÙÝ³ëÇñáõÃÛáõÝÝ»ñÇ, ³Ýï³é³ïÝï»ë³Ï³Ý ³ßË³ï³ÝùÝ»ñÇ Ï³ï³ñáõÙ</t>
    </r>
  </si>
  <si>
    <r>
      <t xml:space="preserve">§²ñ÷Ç ÉÇ×¦ ³½·³ÛÇÝ å³ñÏÇ å³Ñå³ÝáõÃÛ³Ý, ·Çï³Ï³Ý áõëáõÙÝ³ëÇñáõÃÛáõÝÝ»ñÇ,  </t>
    </r>
    <r>
      <rPr>
        <i/>
        <sz val="10"/>
        <color rgb="FF00B050"/>
        <rFont val="Arial Armenian"/>
        <family val="2"/>
      </rPr>
      <t xml:space="preserve">³Ýï³é³ïÝï»ë³Ï³Ý ³ßË³ï³ÝùÝ»ñÇ </t>
    </r>
    <r>
      <rPr>
        <i/>
        <sz val="10"/>
        <rFont val="Arial Armenian"/>
        <family val="2"/>
      </rPr>
      <t>Çñ³Ï³Ý³óáõÙ</t>
    </r>
  </si>
  <si>
    <r>
      <t xml:space="preserve">§²ñ÷Ç ÉÇ×¦ ³½·³ÛÇÝ å³ñÏÇ å³Ñå³ÝáõÃÛ³Ý, å³ñÏáõÙ ·Çï³Ï³Ý áõëáõÙÝ³ëÇñáõÃÛáõÝÝ»ñÇ, </t>
    </r>
    <r>
      <rPr>
        <i/>
        <sz val="10"/>
        <color rgb="FF00B050"/>
        <rFont val="Arial Armenian"/>
        <family val="2"/>
      </rPr>
      <t xml:space="preserve">³Ýï³é³ïÝï»ë³Ï³Ý ³ßË³ï³ÝùÝ»ñÇ </t>
    </r>
    <r>
      <rPr>
        <i/>
        <sz val="10"/>
        <rFont val="Arial Armenian"/>
        <family val="2"/>
      </rPr>
      <t>Ï³ï³ñáõÙ</t>
    </r>
  </si>
  <si>
    <t>§ÊáëñáíÇ ³Ýï³é¦ å»ï³Ï³Ý ³ñ·»ÉáóÇ ï³ñ³ÍùáõÙ å³Ñå³ÝáõÃÛ³Ý, ·Çï³Ï³Ý áõëáõÙÝ³ëÇñáõÃÛáõÝÝ»ñÇ Çñ³Ï³Ý³óáõÙ</t>
  </si>
  <si>
    <t>§ÊáëñáíÇ ³Ýï³é¦ å»ï³Ï³Ý ³ñ·»ÉáóÇ å³Ñå³ÝáõÃÛ³Ý, ·Çï³Ï³Ý áõëáõÙÝ³ëÇñáõÃÛáõÝÝ»ñÇ Ï³ï³ñáõÙ</t>
  </si>
  <si>
    <t xml:space="preserve">´Ðä ï³ñ³ÍùÝ»ñáõÙ å³Ñå³ÝáõÃÛ³Ý, ·Çï³Ï³Ý áõëáõÙÝ³ëÇñáõÃÛáõÝÝ»ñÇ, ³Ýï³é³ïÝï»ë³Ï³Ý ³ßË³ï³ÝùÝ»ñÇ Çñ³Ï³Ý³óáõÙ
</t>
  </si>
  <si>
    <t>²ñ·»Éáó³å³ñÏ³ÛÇÝ Ñ³Ù³ÉÇñ ´Ðä ï³ñ³ÍùÝ»ñÇ å³Ñå³ÝáõÃÛ³Ý, ·Çï³Ï³Ý áõëáõÙÝ³ëÇñáõÃÛáõÝÝ»ñÇ, ³Ýï³é³ïÝï»ë³Ï³Ý ³ßË³ï³ÝùÝ»ñÇ Ï³ï³ñáõÙ</t>
  </si>
  <si>
    <t>§¸ÇÉÇç³Ý¦ ³½·³ÛÇÝ å³ñÏÇ ï³ñ³ÍùáõÙ å³Ñå³ÝáõÃÛ³Ý, ·Çï³Ï³Ý áõëáõÙÝ³ëÇñáõÃÛáõÝÝ»ñÇ, ³Ýï³é³ïÝï»ë³Ï³Ý ³ßË³ï³ÝùÝ»ñÇ Çñ³Ï³Ý³óáõÙ</t>
  </si>
  <si>
    <t>§¸ÇÉÇç³Ý¦ ³½·³ÛÇÝ å³ñÏÇ å³Ñå³ÝáõÃÛ³Ý, å³ñÏáõÙ ·Çï³Ï³Ý áõëáõÙÝ³ëÇñáõÃÛáõÝÝ»ñÇ, ³Ýï³é³ïÝï»ë³Ï³Ý ³ßË³ï³ÝùÝ»ñÇ Ï³ï³ñáõÙ</t>
  </si>
  <si>
    <t>§ê¨³Ý¦ ³½·³ÛÇÝ å³ñÏÇ ï³ñ³ÍùáõÙ å³Ñå³ÝáõÃÛ³Ý, ·Çï³Ï³Ý áõëáõÙÝ³ëÇñáõÃÛáõÝÝ»ñÇ, ³Ýï³é³ïÝï»ë³Ï³Ý ³ßË³ï³ÝùÝ»ñÇ Çñ³Ï³Ý³óáõÙ</t>
  </si>
  <si>
    <t>§ê¨³Ý¦ ³½·³ÛÇÝ å³ñÏÇ å³Ñå³ÝáõÃÛ³Ý, å³ñÏáõÙ ·Çï³Ï³Ý áõëáõÙÝ³ëÇñáõÃÛáõÝÝ»ñÇ, ³Ýï³é³ïÝï»ë³Ï³Ý ³ßË³ï³ÝùÝ»ñÇ Ï³ï³ñáõÙ</t>
  </si>
  <si>
    <t>ê¨³Ý³ É×áõÙ ¨ Ýñ³ çñ³Ñ³í³ù ³í³½³ÝáõÙ ÓÏ³Ý ¨ Ë»ó·»ïÝÇ å³ß³ñÝ»ñÇ Ñ³ßí³éÙ³Ý ³ßË³ï³ÝùÝ»ñ</t>
  </si>
  <si>
    <t>ê¨³Ý³ É×áõÙ ¨ Ýñ³ çñ³Ñ³í³ù ³í³½³ÝáõÙ ÓÏ³Ý ¨ Ë»ó·»ïÝÇ å³ß³ñÝ»ñÇ Ñ³ßí³éáõÙ</t>
  </si>
  <si>
    <t>ê¨³Ý³ É×Ç çñ³Í³ÍÏ ³Ýï³éïÝÏ³ñÏÝ»ñÇ Ù³ùñÙ³Ý ³ßË³ï³ÝùÝ»ñ</t>
  </si>
  <si>
    <t>ê¨³Ý³ É×Ç çñ³Í³ÍÏ ³Ýï³éïÝÏ³ñÏÝ»ñÇ Ù³ùñáõÙ</t>
  </si>
  <si>
    <t xml:space="preserve">ÐÐ êÛáõÝÇùÇ Ù³ñ½Ç µÝáõÃÛ³Ý Ñ³ïáõÏ å³Ñå³ÝíáÕ ï³ñ³ÍùÝ»ñÇ Ï³é³í³ñÙ³Ý  ¨ Ñ³ñ³ÏÇó Ñ³Ù³ÛÝùÝ»ñÇ ëáóÇ³É-ïÝï»ë³Ï³Ý íÇ×³ÏÇ µ³ñ»É³íÙ³ÝÝ áõÕÕí³Í Íñ³·ñ»ñÇ Ùß³ÏÙ³Ý ¨ Ý³Ë³·ÍÙ³Ý ³ßË³ï³ÝùÝ»ñÇ Çñ³Ï³Ý³óáõÙ
</t>
  </si>
  <si>
    <t>¶»ñÙ³ÝÇ³ÛÇ ½³ñ·³óÙ³Ý í³ñÏ»ñÇ µ³ÝÏÇ (KFW) ÏáÕÙÇó ïñ³Ù³¹ñíáÕ ¹ñ³Ù³ßÝáñÑ³ÛÇÝ Íñ³·ñÇ ßñç³Ý³ÏÝ»ñáõÙ ÐÐ êÛáõÝÇùÇ Ù³ñ½Ç  µÝáõÃÛ³Ý Ñ³ïáõÏ å³Ñå³ÝíáÕ ï³ñ³ÍùÝ»ñÇ Ï³é³í³ñÙ³Ý µ³ñ»É³íÙ³ÝÝ áõÕÕí³Í Íñ³·ñ»ñÇ Çñ³Ï³Ý³óáõÙ</t>
  </si>
  <si>
    <t>´Ý³Ï³Ý å³ß³ñÝ»ñÇ ¨ Ï»Ýë³µ³½Ù³½³ÝáõÃÛ³Ý í»ñ³ñï³¹ñáõÃÛ³Ý ³×Ç ³å³ÑáíáõÙ</t>
  </si>
  <si>
    <t>´Ý³Ï³Ý å³ß³ñÝ»ñÇ ¨ Ï»Ýë³µ³½Ù³½³ÝáõÃÛ³Ý ³ñ¹ÛáõÝ³í»ï Ï³é³í³ñáõÙ ¨ å³Ñå³ÝáõÃÛáõÝ</t>
  </si>
  <si>
    <t>´Ý³Ï³Ý å³ß³ñÝ»ñÇ ¨ µÝáõÃÛ³Ý Ñ³ïáõÏ å³Ñå³ÝíáÕ ï³ñ³ÍùÝ»ñÇ Ï³é³í³ñáõÙ ¨ å³Ñå³ÝáõÙ</t>
  </si>
  <si>
    <t>îÝï»ë³Ï³Ý ·áñÍáõÝ»áõÃÛ³Ý Ñ»ï¨³Ýùáí ßñç³Ï³ ÙÇç³í³ÛñÇÝ ¨ µÝ³ÏãáõÃÛ³Ý ³éáÕçáõÃÛ³ÝÁ å³ï×³éí³Í íÝ³ëÝ»ñÇ Ù»ÕÙÙ³ÝÝ áõÕÕí³Í Íñ³·ñ»ñÇ Çñ³Ï³Ý³óÙ³Ý ³ç³ÏóáõÃÛáõÝ ³½¹³ÏÇñ Ñ³Ù³ÛÝùÝ»ñÇÝ</t>
  </si>
  <si>
    <t>´Ý³å³Ñå³Ý³Ï³Ý ëáõµí»ÝóÇ³Ý»ñ Ñ³Ù³ÛÝùÝ»ñÇÝ</t>
  </si>
  <si>
    <t xml:space="preserve">²½¹³ÏÇñ Ñ³Ù³ÛÝùÝ»ñáõÙ µ³ñ»É³íí³Í ßñç³Ï³ ÙÇç³í³Ûñ </t>
  </si>
  <si>
    <t xml:space="preserve">îÝï»ë³Ï³Ý ·áñÍáõÝ»áõÃÛ³Ý Ñ»ï¨³Ýùáí ßñç³Ï³ ÙÇç³í³ÛñÇÝ ¨ µÝ³ÏãáõÃÛ³Ý ³éáÕçáõÃÛ³ÝÁ å³ï×³éí³Í íÝ³ëÝ»ñÇ Ù»ÕÙáõÙ </t>
  </si>
  <si>
    <t>´Ý³å³Ñå³Ý³Ï³Ý Íñ³·ñ»ñÇ Çñ³Ï³Ý³óáõÙ Ñ³Ù³ÛÝùÝ»ñáõÙ</t>
  </si>
  <si>
    <t>´Ý³å³Ñå³ÝáõÃÛ³Ý Ý³Ë³ñ³ñáõÃÛ³Ý ï»ËÝÇÏ³Ï³Ý Ï³ñáÕáõÃÛáõÝÝ»ñÇ ÁÝ¹É³ÛÝáõÙ</t>
  </si>
  <si>
    <t>´Ý³å³Ñå³ÝáõÃÛ³Ý áÉáñïÇ Íñ³·ñ»ñÇ Ùß³ÏáõÙ ¨ Çñ³Ï³Ý³óÙ³Ý Ñ³Ù³Ï³ñ·áõÙ</t>
  </si>
  <si>
    <t>´Ý³å³Ñå³ÝáõÃÛ³Ý áÉáñïÇ Íñ³·ñ»ñÇ Çñ³Ï³Ý³óáõÙ</t>
  </si>
  <si>
    <t>Þñç³Ï³ ÙÇç³í³ÛñÇ å³Ñå³ÝáõÃÛ³ÝÝ áõÕÕí³Í ûñ»Ýë¹ñ³Ï³Ý ¹³ßïÇ µ³ñ»É³íáõÙ, Çñ³Ï³Ý³óíáÕ Íñ³·ñ»ñÇ ³ñ¹ÛáõÝ³í»ïáõÃÛ³Ý  ³å³ÑáíáõÙ</t>
  </si>
  <si>
    <t>´Ý³å³Ñå³ÝáõÃÛ³Ý áÉáñïáõÙ ù³Õ³ù³Ï³ÝáõÃÛ³Ý Ùß³ÏáõÙ, Íñ³·ñ»ñÇ Ñ³Ù³Ï³ñ·áõÙ ¨ ÙáÝÇïáñÇÝ·</t>
  </si>
  <si>
    <t xml:space="preserve">Þñç³Ï³ ÙÇç³í³ÛñÇ å³Ñå³ÝáõÃÛ³ÝÝ áõÕÕí³Í ûñ»Ýë¹ñ³Ï³Ý ¹³ßïÇ µ³ñ»É³íáõÙ, Çñ³Ï³Ý³óíáÕ Íñ³·ñ»ñÇ ³½¹»óáõÃÛ³Ý ¨ ³ñ¹ÛáõÝ³í»ïáõÃÛ³Ý ³×  </t>
  </si>
  <si>
    <t>Þñç³Ï³ ÙÇç³í³ÛñÇ å³Ñå³ÝáõÃÛ³ÝÝ áõÕÕí³Í å»ï³Ï³Ý
 ù³Õ³ù³Ï³ÝáõÃÛ³Ý Ùß³ÏáõÙ ¨ Çñ³Ï³Ý³óáõÙ</t>
  </si>
  <si>
    <t>´Ý³å³Ñå³ÝáõÃÛ³Ý áÉáñïáõÙ å»ï³Ï³Ý ù³Õ³ù³Ï³ÝáõÃÛ³Ý 
Ùß³ÏáõÙ, Íñ³·ñ»ñÇ Ñ³Ù³Ï³ñ·áõÙ ¨ ÙáÝÇïáñÇÝ·</t>
  </si>
  <si>
    <t xml:space="preserve"> </t>
  </si>
  <si>
    <t>ú¹»ñ¨áõÃ³µ³Ý³Ï³Ý,³·ñáû¹»ñ¨áõÃ³µ³Ý³Ï³Ý,ÑÇ¹ñáÉá·Ç³Ï³Ý,é³¹ÇáÉáÏ³óÇáÝ,³ÏïÇÝáÙ»ïñÇ³Ï³Ý,û½áÝáÙ»ïñÇ³Ï³Ý ¨  ³»ñáÉá·Ç³Ï³Ý  ¹Çï³ñÏáõÙÝ»ñÇ  Ï³ï³ñáõÙ,ÏÉÇÙ³ÛÇ  ÷á÷áËáõÃÛ³Ý  áõëáõÙÝ³ëÇñáõÃÛáõÝ  ¨  ÏÉÇÙ³ÛÇ  ÙáÝÇïáñÇÝ·Ç  Çñ³Ï³Ý³óáõÙ,ÐÐ  ï³ñ³ÍùáõÙ  é³¹Ç³óÇáÝ  ÙáÝÇïáñÇÝ·Ç  Ï³ï³ñáõÙ, ÙÃÝáÉáñï³ÛÇÝ  »ñ¨áõÛÃÝ»ñÇ  é³¹ÇáÉáÏ³óÇáÝ  ¹Çï³ñÏáõÙÝ»ñ  ¨  å³ßïå³ÝíáÕ, Ùß³ÏíáÕ  ·ÛáõÕ³ïÝï»ë³Ï³Ý  ï³ñ³ÍùÝ»ñáõÙ  Ï³ñÏï³Ñ³ñáõÃÛ³Ý  ¹»åù»ñÇ   Ñ³í³Ý³Ï³ÝáõÃÛ³Ý   Çç»óáõÙ  ¨  íÝ³ë³½»ñÍáõÙ,ÇÝãå»ë  Ý³  ÑÇ¹ñáû¹»ñ¨áõÃ³µ³Ý³Ï³Ý  ïíÛ³ÉÝ»ñÇ  Ñ³í³ù³·ñáõÙ, Ï³ÝË³ï»ëáõÙÝ»ñÇ  ¨  íï³Ý·³íáñ   ³Õ»ï³ÛÇÝ  »ñ¨áõÛÃÝ»ñÇ  í»ñ³µ»ñÛ³É Ý³Ë³½·áõß³óáõÙÝ»ñÇ  Ï³½ÙáõÙ, ß³Ñ³·ñ·Çé  Ï³½Ù³Ï»ñåáõÃÛáõÝÝ»ñÇÝ  ÑÇ¹ñáû¹»ñ¨áõÃ³µ³Ý³Ï³Ý, é³¹Ç³óÇáÝ  ¨  Ñ»ÉÇá»ñÏñ³ýÇ½ÇÏ³Ï³Ý  ï³ñµ»ñ  ï»Õ»Ï³ïíáõÃÛ³Ùµ   ³å³ÑáíáõÙ</t>
  </si>
  <si>
    <t>ÐÇ¹ñáû¹»ñ¨áõÃ³µ³Ý³Ï³Ý  Í³é³ÛáõÃÛáõÝÝ»ñ, ÙÃÝáÉáñï³ÛÇÝ  »ñ¨áõÛÃÝ»ñÇ  íñ³  ³ÏïÇí  Ý»ñ·áñÍáõÃÛáõÝ</t>
  </si>
  <si>
    <t>´Ý³ÏÉÇÙ³Û³Ï³Ý ¨ ÑÇ¹ñáû¹»ñ¨áõÃ³µ³Ý³Ï³Ý íï³Ý·³íáñ  »ñ¨áõÛÃÝ»ñÇó ïÝï»ëáõÃÛ³Ý  ¨  Ù³ñ¹Ï³Ýó  ÏÛ³ÝùÇ, ³éáÕçáõ ÃÛ³Ý  ¨  áõÝ»óí³ÍùÇ å³ßïå³ÝáõÃÛáõÝ ¨  å³ï×³é³Í  íÝ³ëÇ  Ýí³½»óáõÙ</t>
  </si>
  <si>
    <t>ÐÇ¹ñáû¹»ñ¨áõÃ³µ³Ý³Ï³Ý  íï³Ý·³íáñ  »ñ¨áõÛÃÝ»ñÇó ¨  ÏÉÇÙ³Û³Ï³Ý  éÇëÏ»ñÇó  µÝ³ÏãáõÃÛ³Ý ¨  ïÝï»ëáõÃÛ³Ý  å³ßïå³ÝáõÃÛáõÝ</t>
  </si>
  <si>
    <t>ÐÇ¹éáû¹»ñ¨áõÃ³µ³Ý³Ï³Ý Í³é³ÛáõÃÛáõÝÝ»ñ</t>
  </si>
  <si>
    <t xml:space="preserve">Þñç³Ï³ ÙÇç³í³ÛñÇ ÙáÝÇÃáñÇÝ·Ç ¨ ï»Õ»Ï³ïíáõÃÛ³Ý ïñ³Ù³¹ñÙ³Ý ³ßË³ï³ÝùÝ»ñ </t>
  </si>
  <si>
    <t xml:space="preserve">Þñç³Ï³ ÙÇç³í³ÛñÇ ÙáÝÇÃáñÇÝ· ¨ ï»Õ»Ï³ïíáõÃÛ³Ý ³å³ÑáíáõÙ </t>
  </si>
  <si>
    <t>Þñç³Ï³ ÙÇç³í³ÛñÇ íñ³ ³½¹»óáõÃÛ³Ý ·Ý³Ñ³ïÙ³Ý ¨ ÷áñÓ³ùÝÝáõÃÛ³Ý ³ßË³ï³ÝùÝ»ñ</t>
  </si>
  <si>
    <t xml:space="preserve">Þñç³Ï³ ÙÇç³í³ÛñÇ íñ³ ³½¹»óáõÃÛ³Ý ·Ý³Ñ³ïáõÙ ¨ ÷áñÓ³ùÝÝáõÃÛáõÝ </t>
  </si>
  <si>
    <t>Þñç³Ï³ ÙÇç³í³ÛñÇ í»ñ³µ»ñÛ³É ï»Õ»Ï³ïíáõÃÛ³Ý Ññ³å³ñ³ÏáõÙ:</t>
  </si>
  <si>
    <t>Üå³ëï»É ßñç³Ï³ ÙÇç³í³ÛñÇ ¨ µÝ³Ï³Ý é»ëáõñëÝ»ñÇ (µ³ó³éáõÃÛ³Ùµ û·ï³Ï³ñ Ñ³Ý³ÍáÝ»ñÇ)
å³Ñå³ÝáõÃÛ³ÝÁ</t>
  </si>
  <si>
    <t>Þñç³Ï³ ÙÇç³í³ÛñÇ íñ³ ³½¹»óáõÃÛ³Ý ·Ý³Ñ³ïáõÙ ¨ 
ÙáÝÇÃáñÇÝ·</t>
  </si>
  <si>
    <t>ÐÐ µÝ³å³Ñå³ÝáõÃÛ³Ý Ý³Ë³ñ³ñáõÃÛáõÝ</t>
  </si>
  <si>
    <t>(Ñ³½. ¹ñ³Ù)</t>
  </si>
  <si>
    <t xml:space="preserve">2023Ã </t>
  </si>
  <si>
    <t xml:space="preserve">2022Ã </t>
  </si>
  <si>
    <t>2021Ã ï³ñÇ</t>
  </si>
  <si>
    <t>2021Ã ÇÝÝ ³ÙÇë</t>
  </si>
  <si>
    <t>2021Ã ÏÇë³ÙÛ³Ï</t>
  </si>
  <si>
    <t>2021Ã »é³ÙëÛ³Ï</t>
  </si>
  <si>
    <t>2020Ã ëå³ëíáÕ</t>
  </si>
  <si>
    <t>2019Ã. ö³ëï³óÇ</t>
  </si>
  <si>
    <t>Ìñ³·Çñ/ØÇçáó³éáõÙ</t>
  </si>
  <si>
    <t>¸³ëÇã</t>
  </si>
  <si>
    <t>Ø²ê 2. äºî²Î²Ü Ø²ðØÜÆ ÎàÔØÆò Æð²Î²Ü²òìàÔ ´Úàôæºî²ÚÆÜ Ìð²¶ðºðÀ ºì ØÆæàò²èàôØÜºðÀ</t>
  </si>
  <si>
    <t>Þñç³Ï³ ÙÇç³í³ÛñÇ Ý³Ë³ñ³ñáõÃÛáõÝ</t>
  </si>
  <si>
    <t>ä»ï³Ï³Ý Ù³ñÙÝÇ ³Ýí³ÝáõÙÁ՝</t>
  </si>
  <si>
    <t>Ð³í»Éí³Í N 3. ´Ûáõç»ï³ÛÇÝ Íñ³·ñ»ñÇ ¨ ³ÏÝÏ³ÉíáÕ ³ñ¹ÛáõÝùÝ»ñÇ Ý»ñÏ³Û³óÙ³Ý Ó¨³ã³÷</t>
  </si>
  <si>
    <t>ØÇçáó³éÙ³Ý íñ³ Ï³ï³ñíáÕ Í³ËëÁ (Ñ³½³ñ ¹ñ³Ù)</t>
  </si>
  <si>
    <t>Î»Ý¹³ÝÇÝ»ñÇ å³ÑÙ³Ý å³ÛÙ³ÝÝ»ñÇ Ñ³Ù³å³ï³ëË³ÝáõÃÛáõÝÁ ë³ÑÙ³Ýí³Í ÝáñÙ»ñÇÝ, ïáÏáë</t>
  </si>
  <si>
    <t>àñ³Ï³Ï³Ý</t>
  </si>
  <si>
    <t>òáõó³¹ñíáÕ µáÉáñ Ï»Ý¹³ÝÇÝ»ñÇ í»ñ³µ»ñÛ³É »é³É»½áõ µ³ó³ïñ³Ï³Ý ï»ùëï»ñ, ÁÝ¹Ñ³Ýáõñ ï»ë³Ï³Ýáõó, ïáÏáë</t>
  </si>
  <si>
    <t>òáõó³¹ñíáÕ µáÉáñ Ï»Ý¹³ÝÇÝ»ñÇ í»ñ³µ»ñÛ³É »é³É»½áõ µ³ó³ïñ³Ï³Ý ï»ùëï»ñ, Ñ³ï</t>
  </si>
  <si>
    <t>ø³Ý³Ï³Ï³Ý</t>
  </si>
  <si>
    <t>²Ûó»ÉáõÝ»ñÇ ÃÇí, Ù³ñ¹</t>
  </si>
  <si>
    <t>Î»Ý¹³ÝÇÝ»ñÇ ·ÉË³ù³Ý³Ï, ·ÉáõË</t>
  </si>
  <si>
    <t>Î»Ý¹³ÝÇÝ»ñÇ ï»ë³Ï³ÝÇ, ï»ë³Ï</t>
  </si>
  <si>
    <t>²ñ¹ÛáõÝùÇ ã³÷áñáßÇãÝ»ñ</t>
  </si>
  <si>
    <t>Ø³ëÝ³·Çï³óí³Í Ï³½Ù³Ï»ñåáõÃÛáõÝÝ»ñ</t>
  </si>
  <si>
    <t>ØÇçáó³éáõÙÝ Çñ³Ï³Ý³óÝáÕÇ ³Ýí³ÝáõÙÁ</t>
  </si>
  <si>
    <t>ØÇçáó³éÙ³Ý ï»ë³ÏÁ</t>
  </si>
  <si>
    <t>²ç³ÏóáõÃÛáõÝ ºñ¨³ÝÇ ù³Õ³ù³ÛÇÝ Ñ³Ù³ÛÝùÇÝ Ùß³ÏáõÃ³ÛÇÝ ¨ ×³Ý³ãáÕ³Ï³Ý Å³Ù³ÝóÇ ÙÇçáó³éáõÙÝ»ñÇ Çñ³Ï³Ý³óÙ³Ý Ýå³ï³Ïáí</t>
  </si>
  <si>
    <t>ÜÏ³ñ³·ñáõÃÛáõÝÁ՝</t>
  </si>
  <si>
    <t>ß³ñáõÝ³Ï³Ï³Ý</t>
  </si>
  <si>
    <t>2023Ã</t>
  </si>
  <si>
    <t>2022Ã</t>
  </si>
  <si>
    <t>2021 ÇÝÝ ³ÙÇë</t>
  </si>
  <si>
    <t>2021 ÏÇë³ÙÛ³Ï</t>
  </si>
  <si>
    <t>2021 »é³ÙëÛ³Ï</t>
  </si>
  <si>
    <t>2020Ã. ëå³ëíáÕ</t>
  </si>
  <si>
    <t>2019Ã. ÷³ëï³óÇ</t>
  </si>
  <si>
    <t>ØÇçáó³éÙ³Ý ¹³ëÇãÁ՝</t>
  </si>
  <si>
    <t>òáõó³ÝÇßÝ»ñ</t>
  </si>
  <si>
    <t>Ìñ³·ñÇ ¹³ëÇãÁ՝</t>
  </si>
  <si>
    <t>î³ñ³Íù³ÛÇÝ Ï³é³í³ñÙ³Ý ¨ »ÝÃ³Ï³éáõóí³ÍùÝ»ñÇ Ý³Ë³ñ³ñáõÃÛáõÝ</t>
  </si>
  <si>
    <t>ä»ï³Ï³Ý Ù³ñÙÝÇ (´êÎ) ³Ýí³ÝáõÙÁ՝</t>
  </si>
  <si>
    <t>ä»ï³Ï³Ý Ù³ñÙÝÇ (´êÎ) ·»ñ³ï»ëã³Ï³Ý ¹³ëÇãÁ՝</t>
  </si>
  <si>
    <t>µ³óí³Í</t>
  </si>
  <si>
    <t>²Ù÷á÷/µ³óí³Í</t>
  </si>
  <si>
    <t>òáõó³ÝÙáõßÝ»ñÇ å³Ñå³ÝÙ³Ý Ñ³Ù³ñ ³ÝÑñ³Å»ßï å³ÛÙ³ÝÝ»ñÇ ³å³ÑáíáõÙ, ïáÏáë</t>
  </si>
  <si>
    <t>êå³ë³ñÏíáÕ ³Ûó»ÉáõÝ»ñÇ Ãí³ù³Ý³ÏÁ , Ù³ñ¹</t>
  </si>
  <si>
    <t>Â³Ý·³ñ³Ý³ÛÇÝ óáõó³ÝÙáõßÝ»ñÇ ù³Ý³ÏÁ, Ñ³ï</t>
  </si>
  <si>
    <t>Ð³Û³ëï³ÝÇÝ µÝáñáß µÝáõÃÛ³Ý ûµÛ»ÏïÝ»ñÇ ÝÙáõßÝ»ñÇ å³Ñå³ÝáõÙ, ýáÝ¹»ñÇ Ã³ñÙ³óáõÙ, ÝÙáõßÝ»ñÇ óáõó³Ñ³Ý¹»ëÝ»ñÇ Ï³½Ù³Ï»ñåáõÙ</t>
  </si>
  <si>
    <t>Ìñ³·ñÇ ÙÇçáó³éáõÙÝ»ñÁ</t>
  </si>
  <si>
    <t>Ìñ³·ñÇ ³Ýí³ÝáõÙÁ</t>
  </si>
  <si>
    <t>Ìñ³·ñÇ ¹³ëÇãÁ</t>
  </si>
  <si>
    <t>²Ýï³éÏ³é³í³ñÙ³Ý åÉ³Ý áõÝ»óáÕ ï³ñ³ÍùÝ»ñÇ Ù³ëÝ³µ³ÅÇÝÁ ³Ýï³é³ÛÇÝ ï³ñ³ÍùÝ»ñÇ Ù»ç, ïáÏáë</t>
  </si>
  <si>
    <t>²Ýï³éïÝï»ëáõÃÛáõÝÝ»ñÇ ³Ýï³éÏ³é³í³ñÙ³Ý åÉ³ÝÝ»ñ, Ñ³</t>
  </si>
  <si>
    <t>²Ýï³éïÝï»ëáõÃÛáõÝÝ»ñÇ ³Ýï³éÏ³é³í³ñÙ³Ý åÉ³ÝÝ»ñ, Ñ³ï</t>
  </si>
  <si>
    <t>ÐÐ ßñç³Ï³ ÙÇç³í³ÛñÇ Ý³Ë³ñ³ñáõÃÛ³Ý ³Ýï³é³ÛÇÝ ÏáÙÇï»</t>
  </si>
  <si>
    <t>ÎåãáÕ³Ï³ÝáõÃÛáõÝÁ, ïáÏáë</t>
  </si>
  <si>
    <t>²Ýï³éí»ñ³Ï³Ý·ÝÙ³Ý ï³ñ³ÍùÝ»ñ, Ñ³</t>
  </si>
  <si>
    <t>²Ýï³é³ÛÇÝ ÏáÙÇï»Ç í³ñã³Ï³Ý ß»ÝùÇ ÑÇÙÝ³Ýáñá·áõÙ, ù³é.Ù</t>
  </si>
  <si>
    <t>Þ»Ýù»ñÇ ¨ Ï³éáõÛóÝ»ñÇ ÑÇÙÝ³Ýáñá·áõÙ</t>
  </si>
  <si>
    <t>Þñç³Ï³ ÙÇç³í³ÛñÇ Ý³Ë³ñ³ñáõÃÛ³Ý ²Ýï³é³ÛÇÝ ÏáÙÇï»Ç ß»Ýù³ÛÇÝ å³ÛÙ³ÝÝ»ñÇ µ³ñ»É³íáõÙ</t>
  </si>
  <si>
    <t xml:space="preserve">Þñç³Ï³ ÙÇç³í³ÛñÇ Ý³Ë³ñ³ñáõÃÛ³Ý ²Ýï³é³ÛÇÝ ÏáÙÇï»Ç Ñ³Ù³Ï³ñ·ã³ÛÇÝ ï»ËÝÇÏ³Ûáí Ñ³·»óí³ÍáõÃÛáõÝ, ïáÏáë </t>
  </si>
  <si>
    <t>Ð³Ù³Ï³ñ·ã³ÛÇÝ ë³ñù³íáñáõÙÝ»ñ (Éñ³Ï³½Ù) ù³Ý³Ï, Ñ³ï</t>
  </si>
  <si>
    <t>Þñç³Ï³ ÙÇç³í³ÛñÇ Ý³Ë³ñ³ñáõÃÛ³Ý ³Ýï³é³ÛÇÝ ÏáÙÇï»</t>
  </si>
  <si>
    <t xml:space="preserve">Ð³Ù³Ï³ñ·ã³ÛÇÝ ë³ñù³íáñáõÙÝ»ñÇ ¨ ·ñ³ë»ÝÛ³Ï³ÛÇÝ ·áõÛùÇ Ó»éùµ»ñáõÙ
</t>
  </si>
  <si>
    <t>ÐÐ ßñç³Ï³ ÙÇç³í³ÛñÇ Ý³Ë³ñ³ñáõÃÛ³Ý ²Ýï³é³ÛÇÝ ÏáÙÇï»Ç ï»ËÝÇÏ³Ï³Ý Ï³ñáÕáõÃÛáõÝÝ»ñÇ ÁÝ¹É³ÛÝáõÙ</t>
  </si>
  <si>
    <t>²Ýï³éïÝï»ëáõÃÛáõÝÝ»ñÇ ¨ µÝáõÃÛ³Ý Ñ³ïáõÏ å³Ñå³ÝíáÕ ï³ñ³ÍùÝ»ñÇ ÁÝ¹·ñÏí³ÍáõÃÛ³Ý ³ëïÇ×³ÝÁ, ïáÏáë</t>
  </si>
  <si>
    <t>²Ýï³é³ÛÇÝ ï³ñ³ÍùÝ»ñáõÙ Çñ³Ï³Ý³óí³Í å»ï³Ï³Ý ÙáÝÇïáñÇÝ·Ç í»ñ³µ»ñÛ³É Ñ³ßí»ïíáõÃÛáõÝÝ»ñÇ Ññ³å³ñ³ÏáõÙÝ»ñÇ ÃÇíÁ, Ñ³ï</t>
  </si>
  <si>
    <t>²Ýï³éÝ»ñáõÙ ¹Çï³ñÏáõÙÝ»ñ ¨ áõëáõÙÝ³ëÇñáõÃÛáõÝÝ»ñÇ ù³Ý³Ï, Ñ³ï</t>
  </si>
  <si>
    <t>ØÇçáó³éáõÙÝ Çñ³Ï³Ý³óÝáÕÇ ³Ýí³ÝáõÙÁª</t>
  </si>
  <si>
    <t>²Ýï³é³ÛÇÝ ï³ñ³ÍùÝ»ñáõÙ áõëáõÙÝ³ëÇñáõÃÛáõÝÝ»ñÇ ¨ Ù³ëÝ³ÏÇ ¹Çï³ñÏáõÙÝ»ñÇ ³ÝóÏ³óáõÙ</t>
  </si>
  <si>
    <t>²Ýï³é³ÛÇÝ íÝ³ë³ïáõÝ»ñÇ ¹»Ù ³íÇ³óÇáÝ å³Ûù³ñÇ ³ñ¹ÛáõÝ³í»ïáõÃÛáõÝÁ, ïáÏáë</t>
  </si>
  <si>
    <t>ú·ï³·áñÍíáÕ ÃáõÝ³ÝÛáõÃ»ñÇ ù³Ý³ÏÁ, Ï·</t>
  </si>
  <si>
    <t>²Ýï³é³ÛÇÝ íÝ³ë³ïáõÝ»ñÇ ¹»Ù ³íÇ³óÇáÝ å³Ûù³ñ, Ñ³</t>
  </si>
  <si>
    <t>Ð³Ù³Ó³ÛÝ §¶ÝáõÙÝ»ñÇ Ù³ëÇÝ¦ ÐÐ ûñ»ÝùÇ ÁÝïñí³Í Ï³½Ù³Ï»ñåáõÃÛáõÝÝ»ñ</t>
  </si>
  <si>
    <r>
      <t xml:space="preserve">ԱÝï³é³Í³ÍÏ ï³ñ³ÍùÝ»ñáõÙ íÝ³ë³ïáõÝ»ñÇ </t>
    </r>
    <r>
      <rPr>
        <b/>
        <sz val="10"/>
        <rFont val="Arial Armenian"/>
        <family val="2"/>
      </rPr>
      <t>¨ ÑÇí³Ý¹áõÃÛáõÝÝ»ñÇ</t>
    </r>
    <r>
      <rPr>
        <sz val="10"/>
        <rFont val="Arial Armenian"/>
        <family val="2"/>
      </rPr>
      <t xml:space="preserve"> ¹»Ù å³Ûù³ñ</t>
    </r>
  </si>
  <si>
    <t>²ßË³ï³ÝùÝ»ñÇ Ï³ï³ñÙ³Ý ³ëïÇ×³ÝÁ, ïáÏáë</t>
  </si>
  <si>
    <t>²Ýï³é³ÛÇÝ å»ï³Ï³Ý Ï³¹³ëïñÇ í³ñáõÙ, Ñ³½.Ñ³</t>
  </si>
  <si>
    <t>ØÇçáó³éáõÙÝ Çñ³Ï³Ý³óÝáÕÇ ³Ýí³ÝáõÙÁ՝</t>
  </si>
  <si>
    <t xml:space="preserve">¸ñ³Ù³ßÝáñÑ³ÛÇÝ å³ÛÙ³Ý³·ñáí Ý³Ë³ï»ëí³Í ÙÇçáó³éáõÙÝ»ñÇ Ï³ï³ñÙ³Ý Ù³Ï³ñ¹³ÏÁ,  ïáÏáë </t>
  </si>
  <si>
    <t xml:space="preserve">²åûñÇÝÇ ³Ýï³éÑ³ïáõÙÝ»ñÇ ù³Ý³Ï, Ñ³ï </t>
  </si>
  <si>
    <t>Î³é³í³ñíáÕ ³Ýï³é³ÛÇÝ ï³ñ³ÍùÝ»ñ, Ñ³½.Ñ³</t>
  </si>
  <si>
    <t>ԱÝï³é³ÛÇÝ ï³ñ³ÍùÝ»ñÇ å³Ñå³ÝáõÙ</t>
  </si>
  <si>
    <t>Ð³Ù³Ï³ñ·íáÕ, Çñ³Ï³Ý³óíáÕ ¨ í»ñ³ÑëÏÙ³Ý »ÝÃ³ñÏíáÕ ÙÇçáó³éáõÙÝ»ñÇ ù³Ý³Ï, Ñ³ï</t>
  </si>
  <si>
    <t>Ð³Ù³Ï³ñ·íáÕ, Çñ³Ï³Ý³óíáÕ ¨ í»ñ³ÑëÏÙ³Ý »ÝÃ³ñÏíáÕ Íñ³·ñ»ñÇ ù³Ý³Ï, Ñ³ï</t>
  </si>
  <si>
    <t>Þñç³Ï³ ÙÇç³í³ÛñÇ Ý³Ë³ñ³ñáõÃÛ³Ý ²Ýï³é³ÛÇÝ ÏáÙÇï»</t>
  </si>
  <si>
    <t>ä³Ñå³ÝíáÕ ï³ñ³ÍùÝ»ñÇ Ï³ñáÕáõÃÛáõÝÝ»ñÇ Ñ½áñ³óáõÙ, ïáÏáë</t>
  </si>
  <si>
    <t>§¼³Ý·»½áõñ Ï»ÝëáÉáñï³ÛÇÝ Ñ³Ù³ÉÇñ¦ äà²Î-Ç  í³ñã³Ï³Ý ß»ÝùÇ Ï³åÇï³É í»ñ³Ýáñá·áõÙ, Ï³åÇï³É í»ñ³Ýáñá·í³Í í³ñã³Ï³Ý ß»Ýù, ÃÇí Ñ³ï</t>
  </si>
  <si>
    <t>ºñ¨³Ý ù³Õ³ùáõÙ ÐÐ ´Ðäî-Ý»ñÇ Ù³ëÇÝ ï»Õ»Ï³ïí³Ï³Ý Ï»ÝïñáÝÇ ÑÇÙÝáõÙ, ÑÇÙÝí³Í ï»Õ»Ï³ïí³Ï³Ý Ï»ÝïñáÝ, ÃÇíÁ Ñ³ï</t>
  </si>
  <si>
    <t>§¼³Ý·»½áõñ Ï»ÝëáÉáñï³ÛÇÝ Ñ³Ù³ÉÇñ¦ äà²Î-Ç §²ñ¨Çù¦ Ù³ëÝ³×ÛáõÕÇ Ñ³Ù³ñ í³ñã³Ï³Ý ß»ÝùÇ Ï³éáõóáõÙ,Ýáñ³Ï³éáõÛó í³ñã³Ï³Ý ß»Ýù, ÃÇíÁ Ñ³ï</t>
  </si>
  <si>
    <t>êÛáõÝÇùÇ Ù³ñ½Ç ´Ðäî ï³ñ³ÍùÝ»ñÇ Ï³é³í³ñáõÙÝ Çñ³Ï³Ý³óÝáÕ å»ï³Ï³Ý Ï³½Ù³Ï»ñåáõÃÛáõÝÝ»ñÇ ïñ³Ýëåáñï³ÛÇÝ, í³ñã³Ï³Ý ¨ ³ÛÉ ï»ËÝÇÏ³Ï³Ý ÙÇçáóÝ»ñáí ³å³ÑáíáõÙ, å»ï³Ï³Ý Ï³½Ù³Ï»ñåáõÃÛáõÝÝ»ñÇ ÃÇíÁ, Ñ³ï</t>
  </si>
  <si>
    <r>
      <t xml:space="preserve"> Ìñ³·ñÇ ÃÇñ³Ë³ÛÇÝ</t>
    </r>
    <r>
      <rPr>
        <b/>
        <sz val="10"/>
        <rFont val="Arial Armenian"/>
        <family val="2"/>
      </rPr>
      <t xml:space="preserve"> </t>
    </r>
    <r>
      <rPr>
        <b/>
        <sz val="11"/>
        <rFont val="Arial Armenian"/>
        <family val="2"/>
      </rPr>
      <t>7</t>
    </r>
    <r>
      <rPr>
        <sz val="10"/>
        <rFont val="Arial Armenian"/>
        <family val="2"/>
      </rPr>
      <t xml:space="preserve"> å³Ñå³ÝíáÕ ï³ñ³ÍùÝ»ñÇ Ñ³Ù³ñ Ï³é³í³ñÙ³Ý åÉ³ÝÝ»ñÇ Ï³½ÙáõÙ, Ï³½Ùí³Í Ï³é³í³ñÙ³Ý åÉ³ÝÝ»ñ, Ý³Ë³·Í»ñ, Ñ³ï</t>
    </r>
  </si>
  <si>
    <r>
      <t xml:space="preserve">êÛáõÝÇùÇ Ù³ñ½Ç ÃÇñ³Ë³ÛÇÝ </t>
    </r>
    <r>
      <rPr>
        <b/>
        <sz val="11"/>
        <rFont val="Arial Armenian"/>
        <family val="2"/>
      </rPr>
      <t>7</t>
    </r>
    <r>
      <rPr>
        <sz val="10"/>
        <rFont val="Arial Armenian"/>
        <family val="2"/>
      </rPr>
      <t xml:space="preserve"> å³Ñå³ÝíáÕ ï³ñ³ÍùÝ»ñÇ ýÇ½ÇÏ³Ï³Ý ë³ÑÙ³Ý³½³ïÙ³Ý ³ßË³ï³ÝùÝ»ñÇ Ï³ï³ñáõÙ՝ ë³ÑÙ³Ý³ëÛáõÝ»ñ ï»Õ³¹ñ»Éáõ ÙÇçáóáí, ï»Õ³¹ñíáÕ ë³ÑÙ³Ý³ëÛáõÝ»ñÇ ÃÇí, Ñ³ï</t>
    </r>
  </si>
  <si>
    <t xml:space="preserve"> Ø³ëÝ³·Çï³óí³Í ÙÇ³íáñ </t>
  </si>
  <si>
    <t>²ÏïÇíÝ û·ï³·áñÍáÕ Ï³½Ù³Ï»ñåáõÃÛ³Ý(Ý»ñÇ) ³Ýí³ÝáõÙ(Ý»ñ)Áª</t>
  </si>
  <si>
    <t>Ìñ³·ñÇ ÃÇñ³Ë³ÛÇÝ Ñ³Ù³ÛÝùÝ»ñÇ 385 ïÝ³ÛÇÝ ïÝï»ëáõÃÛáõÝÝ»ñÇ ÏáÕÙÇó ç»éáõóÙ³Ý Ýå³ï³Ïáí û·ï³·áñÍíáÕ í³é»ÉÇùÇ ËÝ³ÛáÕáõÃÛáõÝ, ïáÏáë</t>
  </si>
  <si>
    <r>
      <t>Ø»ÕñÇÇ Ñ³Ù³ÛÝùÇ ïÝ³ÛÇÝ ïÝï»ëáõÃÛáõÝÝ»ñáõÙ ÙÇÝã¨ 9Ù</t>
    </r>
    <r>
      <rPr>
        <vertAlign val="superscript"/>
        <sz val="10"/>
        <rFont val="Arial Armenian"/>
        <family val="2"/>
      </rPr>
      <t>2</t>
    </r>
    <r>
      <rPr>
        <sz val="10"/>
        <rFont val="Arial Armenian"/>
        <family val="2"/>
      </rPr>
      <t xml:space="preserve"> ç»ñÙ³Ù»ÏáõëÇã å³ïáõÑ³ÝÝ»ñÇ ï»Õ³¹ñáõÙ, ³ç³ÏóáõÃÛáõÝ ëï³óáÕ   ïÝ³ÛÇÝ ïÝï»ëáõÃÛáõÝÝ»ñÇ ÃÇíÁ, Ñ³ï</t>
    </r>
  </si>
  <si>
    <t xml:space="preserve">êÛáõÝÇùÇ Ù³ñ½áõÙ ·áñÍáõÝ»áõÃÛáõÝ Í³í³ÉáÕ Ñ³ë³ñ³Ï³Ï³Ý Ï³½Ù³Ï»ñåáõÃÛáõÝÝ»ñÇ ÏáÕÙÇó Ý»ñÏ³Û³óí³Í ßñç³Ï³ ÙÇç³í³ÛñÇ íñ³ µ³ó³ë³Ï³Ý ³½¹»óáõÃÛ³Ý Ýí³½»óÙ³ÝÝ áõÕÕí³Í Íñ³·ñ»ñÇ ýÇÝ³Ýë³íáñáõÙ, ÐÎ-Ý»ñÇ ÃÇíÁ, Ñ³ï </t>
  </si>
  <si>
    <t>Ìñ³·ñÇ ÃÇñ³Ë³ÛÇÝ 3 (Î³å³Ý, Ø»ÕñÇ, ²·³ñ³Ï) ù³Õ³ùÝ»ñáõÙ ßñç³Ï³ ÙÇç³í³ÛñÇ íñ³ µ³ó³ë³Ï³Ý ³½¹»óáõÃÛ³Ý Ýí³½»óÙ³ÝÝ áõÕÕí³Í ÷áùñ  Í³í³ÉÇ µÇ½Ý»ë Íñ³·ñ»ñÇ ýÇÝ³Ýë³íáñáõÙ, ÃÇñ³Ë³ÛÇÝ ù³Õ³ùÝ»ñÇ ÃÇíÁ, Ñ³ï</t>
  </si>
  <si>
    <t>ÐÐ µÝ³å³Ñå³ÝáõÃÛ³Ý Ý³Ë³ñ³ñáõÃÛ³Ý ¨ KFW-Ç ÙÇç¨ 28.05.2013Ã. ÏÝùí³Í '§²é³ÝÓÇÝ Ñ³Ù³Ó³ÛÝ³·Çñ¦</t>
  </si>
  <si>
    <t>Þ³Ñ³éáõÝ»ñÇ ÁÝïñáõÃÛ³Ý ã³÷³ÝÇßÝ»ñÁ</t>
  </si>
  <si>
    <t>Þ³Ñ³éáõÝ»ñÇ ù³Ý³ÏÁ, Ñ³ï</t>
  </si>
  <si>
    <t xml:space="preserve">ÐÐ Ü³Ë³·³Ñ,Î³ñ·³¹ñáõÃÛáõÝ N ÜÎ-68-²  Ñ³Ù³å³ï³ëË³Ý Ï³½Ù³Ï»ñåáõÃÛáõÝ
</t>
  </si>
  <si>
    <t>Þ³Ñ³éáõÝ»ñÇ ÁÝïñáõÃÛ³Ý ã³÷³ÝÇßÝ»ñÁª</t>
  </si>
  <si>
    <t>¾ÏáÑ³Ù³Ï³ñ·»ñÇ µÝ³Ï³ÝáÝ ½³ñ·³óÙ³Ý íñ³ µÝ³Ï³Ý ¨ Ù³ñ¹³ÍÇÝ µ³ó³ë³Ï³Ý ³½¹»óáõÃÛ³Ý Ï³ÝË³ñ·»ÉÙ³Ý Ï³ñáÕáõÃÛáõÝÁ, ïáÏáë</t>
  </si>
  <si>
    <t>²Ýï³éí»ñ³Ï³Ý·ÝÙ³Ý ³ßË³ï³ÝùÝ»ñÇ ³ñ¹ÛáõÝ³í»ïáõÃÛáõÝÁ, ïÝÏÇÝ»ñÇ ÏåãáÕ³Ï³ÝáõÃÛáõÝÁ, %</t>
  </si>
  <si>
    <t>´Ý³Ï³Ý ¿ÏáÑ³Ù³Ï³ñ·Ç Ñ³í³ë³ñ³ÏßéáõÃÛáõÝÁ Ë³ËïáÕ ·áñÍÁÝÃ³óÝ»ñÇ, ³Û¹ ÃíáõÙ՝ ³åûñÇÝÇ Í³é³Ñ³ïáõÙÝ»ñÇ ¹»Ù áõÕÕí³Í ·áñÍáÕáõÃÛáõÝÝ»ñÇ  ³ñ¹ÛáõÝ³í»ïáõÃÛáõÝÁ Ý³Ëáñ¹ ï³ñí³ Ñ³Ù»Ù³ï, ïáÏáë</t>
  </si>
  <si>
    <t>²Ýï³éí»ñ³Ï³Ý·ÝÙ³Ý ³ßË³ï³ÝùÝ»ñÇ Çñ³Ï³Ý³óáõÙ, ïÝÏÇÝ»ñÇ ù³Ý³Ï, Ñ³ï</t>
  </si>
  <si>
    <t>´Ý³ÏãáõÃÛ³Ý ¿ÏáÉá·Ç³Ï³Ý ÏñÃáõÃÛ³ÝÝ áõ ¹³ëïÇ³ñ³ÏáõÃÛ³ÝÝ áõÕÕí³Í ÙÇçáó³éáõÙÝ»ñÇ ÃÇíÁ, Ñ³ï</t>
  </si>
  <si>
    <t>¶Çï³Ï³Ý áõëáõÙÝ³ëÇñáõÃÛáõÝÝ»ñÇ ¨ Ñ»ï³½áïáõÃÛáõÝÝ»ñÇ í»ñ³µ»ñÛ³É Ñ³ßí»ïíáõÃÛáõÝÝ»ñÇ ÃÇíÁ, Ñ³ï</t>
  </si>
  <si>
    <t>äà²Î-Ç ïÝûñÇÝáõÃÛ³Ý` ´Ðä ï³ñ³ÍùÝ»ñáõÙ ·ïÝíáÕ µÝ³Ï³Ý ¿ÏáÑ³Ù³Ï³ñ·»ñÇ É³Ý¹ß³ýï³ÛÇÝ ¨ Ï»Ýë³µ³Ý³Ï³Ý µ³½Ù³½³ÝáõÃÛ³Ý, µÝáõÃÛ³Ý Å³é³Ý·áõÃÛ³Ý å³Ñå³ÝíáÕ ï³ñ³Íù, Ñ³</t>
  </si>
  <si>
    <t>´Ðä ï³ñ³ÍùÝ»ñáõÙ å³Ñå³ÝáõÃÛ³Ý, ·Çï³Ï³Ý áõëáõÙÝ³ëÇñáõÃÛáõÝÝ»ñÇ, ³Ýï³é³ïÝï»ë³Ï³Ý ³ßË³ï³ÝùÝ»ñÇ Çñ³Ï³Ý³óáõÙ</t>
  </si>
  <si>
    <t>16026.6</t>
  </si>
  <si>
    <t>îÝÏ³ñ³Ý³ÛÇÝ ïÝï»ëáõÃÛ³Ý ïÝÏÇÝ»ñÇ ¨ ë»ñÙÝ³µáõë³ÏÝ»ñÇ ÏåãáÕ³Ï³ÝáõÃÛáõÝÁ, ïáÏáë</t>
  </si>
  <si>
    <t>îÝÏ³ñ³Ý³ÛÇÝ ïÝï»ëáõÃÛ³Ý í³ñáõÙ, Ñ³</t>
  </si>
  <si>
    <t>Ð³Ï³Ññ¹»Ñ³ÛÇÝ ÙÇçáó³éáõÙÝ»ñ,Ñ³ï</t>
  </si>
  <si>
    <r>
      <t>§¼ÇÏ³ï³ñ¦ å»ï³Ï³Ý ³ñ·»É³í³ÛñÇ å³Ñå³ÝáõÃÛ³Ý« ·Çï³Ï³Ý áõëáõÙÝ³ëÇñáõÃÛáõÝÝ»ñÇ</t>
    </r>
    <r>
      <rPr>
        <b/>
        <i/>
        <sz val="10"/>
        <rFont val="Arial Armenian"/>
        <family val="2"/>
      </rPr>
      <t xml:space="preserve">, ³Ýï³é³ïÝï»ë³Ï³Ý ³ßË³ï³ÝùÝ»ñÇ </t>
    </r>
    <r>
      <rPr>
        <i/>
        <sz val="10"/>
        <rFont val="Arial Armenian"/>
        <family val="2"/>
      </rPr>
      <t>Çñ³Ï³Ý³óáõÙ</t>
    </r>
  </si>
  <si>
    <r>
      <t>§¼ÇÏ³ï³ñ¦ å»ï³Ï³Ý ³ñ·»É³í³ÛñÇ å³Ñå³ÝáõÃÛáõÝ</t>
    </r>
    <r>
      <rPr>
        <b/>
        <i/>
        <sz val="10"/>
        <rFont val="Arial Armenian"/>
        <family val="2"/>
      </rPr>
      <t>, ·Çï³Ï³Ý áõëáõÙÝ³ëÇñáõÃÛáõÝÝ»ñÇ, ³Ýï³é³ïÝï»ë³Ï³Ý ³ßË³ï³ÝùÝ»ñÇ Ï³ï³ñáõÙ</t>
    </r>
  </si>
  <si>
    <t xml:space="preserve">²Ýï³é³å³ïÙ³Ý ³ßË³ï³ÝùÝ»ñÇ Çñ³Ï³Ý³óáõÙ, ïÝÏÇÝ»ñ, Ñ³ï </t>
  </si>
  <si>
    <t xml:space="preserve"> Ø³ëÝ³·Çï³óí³Í Ï³½Ù³Ï»ñåáõÃÛáõÝÝ»ñ</t>
  </si>
  <si>
    <r>
      <t xml:space="preserve">§²ñ÷Ç ÉÇ×¦ ³½·³ÛÇÝ å³ñÏÇ å³Ñå³ÝáõÃÛ³Ý, ·Çï³Ï³Ý áõëáõÙÝ³ëÇñáõÃÛáõÝÝ»ñÇ,  </t>
    </r>
    <r>
      <rPr>
        <b/>
        <i/>
        <sz val="10"/>
        <rFont val="Arial Armenian"/>
        <family val="2"/>
      </rPr>
      <t xml:space="preserve">³Ýï³é³ïÝï»ë³Ï³Ý ³ßË³ï³ÝùÝ»ñÇ </t>
    </r>
    <r>
      <rPr>
        <i/>
        <sz val="10"/>
        <rFont val="Arial Armenian"/>
        <family val="2"/>
      </rPr>
      <t>Çñ³Ï³Ý³óáõÙ</t>
    </r>
  </si>
  <si>
    <r>
      <t xml:space="preserve">§²ñ÷Ç ÉÇ×¦ ³½·³ÛÇÝ å³ñÏÇ å³Ñå³ÝáõÃÛ³Ý, å³ñÏáõÙ ·Çï³Ï³Ý áõëáõÙÝ³ëÇñáõÃÛáõÝÝ»ñÇ,  </t>
    </r>
    <r>
      <rPr>
        <b/>
        <i/>
        <sz val="10"/>
        <rFont val="Arial Armenian"/>
        <family val="2"/>
      </rPr>
      <t xml:space="preserve">³Ýï³é³ïÝï»ë³Ï³Ý ³ßË³ï³ÝùÝ»ñÇ </t>
    </r>
    <r>
      <rPr>
        <i/>
        <sz val="10"/>
        <rFont val="Arial Armenian"/>
        <family val="2"/>
      </rPr>
      <t>Ï³ï³ñáõÙ</t>
    </r>
  </si>
  <si>
    <t>´Ý³Ï³Ý ¿ÏáÑ³Ù³Ï³ñ·Ç Ñ³í³ë³ñ³ÏßéáõÃÛáõÝÁ Ë³ËïáÕ ·áñÍÁÝÃ³óÝ»ñÇ, ³Û¹ ÃíáõÙ՝ áñë³·áñáõÃÛ³Ý ¨  ³åûñÇÝÇ Í³é³Ñ³ïáõÙÝ»ñÇ ¹»Ù áõÕÕí³Í ·áñÍáÕáõÃÛáõÝÝ»ñÇ  ³ñ¹ÛáõÝ³í»ïáõÃÛáõÝÁ Ý³Ëáñ¹ ï³ñí³ Ñ³Ù»Ù³ï, ïáÏáë</t>
  </si>
  <si>
    <t>äà²Î-Ç ïÝûñÇÝáõÃÛ³Ý` ´Ðä ï³ñ³ÍùÝ»ñáõÙ ·ïÝíáÕ µÝ³Ï³Ý ¿ÏáÑ³Ù³Ï³ñ·»ñÇ É³Ý¹ß³ýï³ÛÇÝ ¨ Ï»Ýë³µ³Ý³Ï³Ý µ³½Ù³½³ÝáõÃÛ³Ý, µÝáõÃÛ³Ý Å³é³Ý·áõÃÛ³Ý å³Ñå³ÝíáÕ ï³ñ³Íù,Ñ³</t>
  </si>
  <si>
    <r>
      <t xml:space="preserve">
§ÊáëñáíÇ ³Ýï³é¦ å»ï³Ï³Ý ³ñ·»ÉáóÇ ï³ñ³ÍùáõÙ å³Ñå³ÝáõÃÛ³Ý« ·Çï³Ï³Ý áõëáõÙÝ³ëÇñáõÃÛáõÝÝ»ñÇ</t>
    </r>
    <r>
      <rPr>
        <i/>
        <sz val="10"/>
        <color theme="1"/>
        <rFont val="Arial Armenian"/>
        <family val="2"/>
      </rPr>
      <t xml:space="preserve"> Çñ³Ï³Ý³óáõÙ
</t>
    </r>
  </si>
  <si>
    <t>è»Ïñ»³óÇ³ÛÇ ½³ñ·³óÙ³ÝÝ áõÕÕí³Í ÙÇçáó³éáõÙÝ»ñÇ ÃÇíÁ, Ñ³ï</t>
  </si>
  <si>
    <t>¶Çï³×³Ý³ãáÕ³Ï³Ý, ·Çï³³ñï³¹ñ³Ï³Ý åñ³ÏïÇÏ³Ý»ñÇ, ¿ÏáÏñÃ³Ï³Ý ¨ Ñ³ë³ñ³ÏáõÃÛ³Ý Çñ³½»ÏÙ³Ý Ù³Ï³ñ¹³ÏÇ µ³ñÓñ³óÙ³ÝÝ áõÕÕí³Í ÙÇçáó³éáõÙÝ»ñÇ ÃÇíÁ, Ñ³ï</t>
  </si>
  <si>
    <t>´Ðä ï³ñ³ÍùÝ»ñáõÙ ¨ ¹»Ý¹ñáå³ñÏ»ñáõÙ ·ïÝíáÕ µÝ³Ï³Ý ¿ÏáÑ³Ù³Ï³ñ·»ñÇ É³Ý¹ß³ýï³ÛÇÝ ¨ Ï»Ýë³µ³Ý³Ï³Ý µ³½Ù³½³ÝáõÃÛ³Ý, µÝáõÃÛ³Ý Å³é³Ý·áõÃÛ³Ý å³Ñå³ÝíáÕ ï³ñ³Íù,Ñ³</t>
  </si>
  <si>
    <t>´Ý³Ï³Ý ¿ÏáÑ³Ù³Ï³ñ·Ç Ñ³í³ë³ñ³ÏßéáõÃÛáõÝÁ Ë³ËïáÕ ·áñÍÁÝÃ³óÝ»ñÇ, ³Û¹ ÃíáõÙ՝ áñë³·áñáõÃÛ³Ý ¨ ³åûñÇÝÇ Í³é³Ñ³ïáõÙÝ»ñÇ ¹»Ù áõÕÕí³Í ·áñÍáÕáõÃÛáõÝÝ»ñÇ  ³ñ¹ÛáõÝ³í»ïáõÃÛáõÝÁ Ý³Ëáñ¹ ï³ñí³ Ñ³Ù»Ù³ï , ïáÏáë</t>
  </si>
  <si>
    <t>Ê³Ëïí³Í ¿ÏáÑ³Ù³Ï³ñ·»ñÇ í»ñ³Ï³Ý·ÝÙ³ÝÝ áõÕÕí³Í ÙÇçáó³éáõÙÝ»ñÇ ÃÇíÁ, Ñ³ï</t>
  </si>
  <si>
    <t>´Ý³Ï³Ý ¿ÏáÑ³Ù³Ï³ñ·Ç Ñ³í³ë³ñ³ÏßéáõÃÛáõÝÁ Ë³ËïáÕ ·áñÍÁÝÃ³óÝ»ñÇ, ³Û¹ ÃíáõÙ՝ áñë³·áñáõÃÛ³Ý ¨ ³åûñÇÝÇ Í³é³Ñ³ïáõÙÝ»ñÇ ¹»Ù áõÕÕí³Í ·áñÍáÕáõÃÛáõÝÝ»ñÇ  ³ñ¹ÛáõÝ³í»ïáõÃÛáõÝÁ Ý³Ëáñ¹ ï³ñí³ Ñ³Ù»Ù³ï, ïáÏáë</t>
  </si>
  <si>
    <t xml:space="preserve">ê¨³Ý³ É×Ç ¿ÏáÑ³Ù³Ï³ñ·Ç µ³ñ»É³íáõÙ, Ý³Ëáñ¹ ï³ñí³ ÝÏ³ïÙ³Ùµ,  ïáÏáë </t>
  </si>
  <si>
    <t xml:space="preserve">ÐÐ Ï³é³í³ñáõÃÛ³Ý áñáßÙ³Ùµ Ñ³ëï³ïí³Í §ê¨³Ý¦ ³½·³ÛÇÝ å³ñÏÇ ï³ñ»Ï³Ý Ñ³Ù³ÉÇñ Íñ³·ñáí í»ñ³å³Ñí³Í ÙÇçáó³éáõÙÝ»ñÇ Ï³ï³ñÙ³Ý Ù³Ï³ñ¹³ÏÁ,  ïáÏáë </t>
  </si>
  <si>
    <t>Ê³Ëïí³Í ¿ÏáÑ³Ù³Ï³ñ·»ñÇ í»ñ³Ï³Ý·ÝÙ³ÝÝ áõÕÕí³Í ÙÇçáó³éáõÙÝ»ñÇ  (³Ýï³éïÝÏáõÙ, ·»Õ³ñùáõÝÇ Ù³Ýñ³ÓÏ³Ý ³×»óáõÙ ¨ µ³óÃáÕáõÙ) ÃÇíÁ, Ñ³ï</t>
  </si>
  <si>
    <t>²½·³ÛÇÝ å³ñÏÇ ï³ñ³ÍùáõÙ ·ïÝíáÕ Ñ³Ýñ³ÛÇÝ ÉáÕ³÷»ñÇ ëå³ë³ñÏáõÙ ¨ å³Ñå³ÝáõÙ, Ñ³Ýñ³ÛÇÝ ÉáÕ³÷»ñÇ ù³Ý³ÏÁ, Ñ³ï</t>
  </si>
  <si>
    <t>äà²Î-Ç ïÝûñÇÝáõÃÛ³Ý` ´Ðä ï³ñ³ÍùÝ»ñáõÙ ·ïÝíáÕ µÝ³Ï³Ý ¿ÏáÑ³Ù³Ï³ñ·»ñÇ É³Ý¹ß³ýï³ÛÇÝ ¨ Ï»Ýë³µ³Ý³Ï³Ý µ³½Ù³½³ÝáõÃÛ³Ý, µÝáõÃÛ³Ý Å³é³Ý·áõÃÛ³Ý å³Ñå³ÝáõÃÛáõÝ, Ñ³</t>
  </si>
  <si>
    <t>Þñç³Ï³ ÙÇç³í³ÛñÇ Ý³Ë³ñ³ñáõÃÛ³Ý ÏáÕÙÇó ¹ñ³Ï³Ý ·Ý³Ñ³ïí³Í Ñ³ßí»ïíáõÃÛ³Ý ³éÏ³ÛáõÃÛáõÝ, Ñ³ï</t>
  </si>
  <si>
    <r>
      <t>ê¨³Ý³ É×áõÙ ¨ Ýñ³ çñ³Ñ³í³ù ³í³½³ÝáõÙ ÓÏ³Ý ¨ Ë»ó·»ïÝÇ å³ß³ñÝ»ñÇ Ñ³ßí³éÙ³Ý ³ßË³ï³ÝùÝ»ñÇ Ñ³ßí»ïíáõÃÛáõÝÝ»ñÇ ù³Ý³Ï, Ñ³ï</t>
    </r>
    <r>
      <rPr>
        <sz val="10"/>
        <color indexed="48"/>
        <rFont val="Arial Armenian"/>
        <family val="2"/>
      </rPr>
      <t xml:space="preserve"> </t>
    </r>
  </si>
  <si>
    <t xml:space="preserve">Ð³Ù³Ó³ÛÝ §¶ÝáõÙÝ»ñÇ Ù³ëÇÝ¦ ÐÐ oñ»ÝùÇ ÁÝïñí³Í Ï³½Ù³Ï»ñåáõÃÛáõÝÝ»ñ </t>
  </si>
  <si>
    <t xml:space="preserve">Î³ï³ñí³Í ³ßË³ï³ÝùÝ»ñÇ Ñ³Ù³å³ï³ëË³ÝáõÃÛáõÝÁ Ý³Ë³ï»ëí³Í ã³÷áñáßÇãÝ»ñÇÝ, ïáÏáë </t>
  </si>
  <si>
    <t>Ø³ùñí³Í ï³ñ³ÍùÝ»ñÇ Ù³ëÝ³µ³ÅÇÝÁ Ù³ùñÙ³Ý »ÝÃ³Ï³ (1688.9 Ñ³) ï³ñ³ÍùÝ»ñáõÙ, ïáÏáë</t>
  </si>
  <si>
    <t xml:space="preserve">ê¨³Ý³ É×Ç çñ³Í³ÍÏ ³Ýï³éïÝÏ³ñÏÝ»ñÇ Ù³ùñáõÙ, Ñ³ </t>
  </si>
  <si>
    <t>êáóÇ³É-ïÝï»ë³Ï³Ý ½³ñ·³óÙ³Ý Íñ³·ñ»ñáõÙ 7 ´Ðäî-Ý»ñÇ Ñ³ñ³ÏÇó Ñ³Ù³ÛÝùÝ»ñÇ ÁÝ¹·ñÏí³ÍáõÃÛáõÝÁ, ïáÏáë</t>
  </si>
  <si>
    <t>Ìñ³·ñÇ Ñ³Ý¹»å Ñ³ÝñáõÃÛ³Ý ÏáÕÙÇó ÁÝÏ³ÉÙ³Ý ³Ù÷á÷ ³ñ¹ÛáõÝùÝ»ñáí Ñ³ßí»ïíáõÃÛáõÝ, Ñ³ï</t>
  </si>
  <si>
    <t>Ìñ³·ñÇ ÃÇñ³Ë³ÛÇÝ 32 Ñ³Ù³ÛÝùÝ»ñÇ Ñ³Ù³ñ ¿ÏáïáõñÇ½ÙÇ é³½Ù³í³ñáõÃÛ³Ý Ùß³ÏáõÙ, Ùß³Ïí³Í é³½Ù³í³ñ³Ï³Ý ÷³ëï³ÃáõÕÃ, ÃÇíÁ, Ñ³ï</t>
  </si>
  <si>
    <t>Ìñ³·ñÇ ÃÇñ³Ë³ÛÇÝ äî-Ý»ñÇ Ï³é³í³ñÙ³Ý åÉ³ÝÝ»ñÇ Ï³½ÙÙ³Ý Ýå³ï³Ïáí  »É³Ï»ï³ÛÇÝ ïíÛ³ÉÝ»ñÇ áõëáõÙÝ³ëÇñáõÃÛáõÝ, áõëáõÙÝ³ëÇñáõÃÛ³Ý »ÝÃ³Ï³ äî-Ý»ñÇ ÃÇíÁ, Ñ³ï</t>
  </si>
  <si>
    <t>ÂÇñ³Ë³ÛÇÝ 7 å³Ñå³ÝíáÕ ï³ñ³ÍùÝ»ñÇ ³ßË³ï³ÏÇóÝ»ñÇ í»ñ³å³ïñ³ëïÙ³Ý ¹³ëÁÝÃ³óÝ»ñÇ Ï³½Ù³Ï»ñåáõÙ,¹³ëÁÝÃ³óÝ»ñÇ ÃÇíÁ, Ñ³ï</t>
  </si>
  <si>
    <t>Ø³ëÝ³·Çï³óí³Í ÙÇ³íáñ</t>
  </si>
  <si>
    <t xml:space="preserve">
ÐÐ êÛáõÝÇùÇ Ù³ñ½Ç µÝáõÃÛ³Ý Ñ³ïáõÏ å³Ñå³ÝíáÕ ï³ñ³ÍùÝ»ñÇ Ï³é³í³ñÙ³Ý  ¨ Ñ³ñ³ÏÇó Ñ³Ù³ÛÝùÝ»ñÇ ëáóÇ³É-ïÝï»ë³Ï³Ý íÇ×³ÏÇ µ³ñ»É³íÙ³ÝÝ áõÕÕí³Í Íñ³·ñ»ñÇ Ùß³ÏÙ³Ý ¨ Ý³Ë³·ÍÙ³Ý ³ßË³ï³ÝùÝ»ñÇ Çñ³Ï³Ý³óáõÙ
</t>
  </si>
  <si>
    <r>
      <rPr>
        <b/>
        <sz val="10"/>
        <rFont val="Arial Armenian"/>
        <family val="2"/>
      </rPr>
      <t>*</t>
    </r>
    <r>
      <rPr>
        <sz val="8"/>
        <rFont val="Arial Armenian"/>
        <family val="2"/>
      </rPr>
      <t xml:space="preserve">2021 Ãí³Ï³ÝÇ Ñ³Ù³ñ ·áõÙ³ñÇ Ñ³ßí³ñÏ³Ù³Ý ÑÇÙùáõÙ ¹ñí³Í »Ý 2017 Ãí³Ï³ÝÇÝ å»ï³Ï³Ý µÛáõç» ÷³ëï³óÇ Ùáõïù³·ñí³Í  µÝ³å³Ñå³Ý³Ï³Ý í×³ñÝ»ñÁ ¨  2018-2019 Ãí³Ï³ÝÝ»ñÇ Ñ³Ù³ñ Ý»ñÏ³Û³óí³Í Ñ³ßí»ïíáõÃÛáõÝÝ»ñÇ µÝ³å³Ñå³Ý³Ï³Ý Ñ³ñÏÇ ·áõÙ³ñÝ»ñÁ: Ð³ßíÇ ³éÝ»Éáí, áñ  §ÀÝÏ»ñáõÃÛáõÝÝ»ñÇ ÏáÕÙÇó í×³ñíáÕ µÝ³å³Ñå³Ý³Ï³Ý Ñ³ñÏÇ Ýå³ï³Ï³ÛÇÝ û·ï³·áñÍÙ³Ý Ù³ëÇÝ¦ ÐÐ ûñ»ÝùáõÙ ÷á÷áËáõÃÛáõÝÝ»ñ ¨ Éñ³óáõÙÝ»ñ Ï³ï³ñ»Éáõ Ù³ëÇÝ¦ Ý³Ë³·ÇÍÁ Ñ³í³ÝáõÃÛ³Ý ¿ ³ñÅ³Ý³ó»É Ï³é³í³ñáõÃÛ³Ý ÝÇëïáõÙª ¹ñ³ ÁÝ¹áõÝáõÙÇó Ñ»ïá Ñ³Ù³ÛÝùÝ»ñÇ ÏáÕÙÇó Ñ³Ù³å³ï³ëË³Ý Íñ³·ñ»ñ Ý»ñÏ³Û³óÝ»Éáõ å³ñ³·³ÛáõÙ, Ý»ñÏ³Û³óí³Í 2021-2023ÃÃ Ñ³Ù³ñ Ñ³ßí³ñÏí³Í ·áõÙ³ñÝ»ñÁ »ÝÃ³Ï³ ÏÉÇÝ»Ý ÷á÷áËáõÃÛ³Ý:
</t>
    </r>
  </si>
  <si>
    <t>Ìñ³·ñ»ñ Ý»ñÏ³Û³óñ³Í Ñ³Ù³ÛÝùÝ»ñÇ ÃÇí, Ñ³ï</t>
  </si>
  <si>
    <t>²½¹³ÏÇñ Ñ³Ù³ÛÝùÝ»ñÇ ÃÇí, Ñ³ï</t>
  </si>
  <si>
    <t>§ÀÝÏ»ñáõÃÛáõÝÝ»ñÇ ÏáÕÙÇó í×³ñíáÕ µÝ³å³Ñå³Ý³Ï³Ý Ñ³ñÏÇ Ýå³ï³Ï³ÛÇÝ û·ï³·áñÍÙ³Ý Ù³ëÇÝ¦ ÐÐ ûñ»Ýù</t>
  </si>
  <si>
    <r>
      <t>2023Ã</t>
    </r>
    <r>
      <rPr>
        <sz val="10"/>
        <color rgb="FF000000"/>
        <rFont val="Arial Armenian"/>
        <family val="2"/>
      </rPr>
      <t>*</t>
    </r>
  </si>
  <si>
    <r>
      <t>2022Ã</t>
    </r>
    <r>
      <rPr>
        <sz val="10"/>
        <color rgb="FF000000"/>
        <rFont val="Arial Armenian"/>
        <family val="2"/>
      </rPr>
      <t>*</t>
    </r>
  </si>
  <si>
    <r>
      <t>2021Ã ï³ñÇ</t>
    </r>
    <r>
      <rPr>
        <sz val="10"/>
        <color rgb="FF000000"/>
        <rFont val="Arial Armenian"/>
        <family val="2"/>
      </rPr>
      <t>*</t>
    </r>
  </si>
  <si>
    <t>ÐÐ Ï³é³í³ñáõÃÛáõÝ</t>
  </si>
  <si>
    <t>Ò³ÛÝ³·ñÇã</t>
  </si>
  <si>
    <t>Þ³ñÅ³Ï³Ý ¿É»Ïïñ³Ï³Û³Ý</t>
  </si>
  <si>
    <t>ºÃ»ñ³ÛÇÝ é³¹ÇáÏ³åÇ ë³ñù³íáñáõÙ</t>
  </si>
  <si>
    <t xml:space="preserve">´Ý³å³Ñå³ÝáõÃÛ³Ý Ý³Ë³ñ³ñáõÃÛáõÝ </t>
  </si>
  <si>
    <t>ø³Õ³ù³óÇ³Ï³Ý å³ßïå³ÝáõÃÛ³Ý Ï³é³í³ñÙ³Ý Ñ³Ù³Ï³ñ·Ç µÝ³Ï³ÝáÝ ÁÝÃ³óùÇ ³å³ÑáíáõÙ</t>
  </si>
  <si>
    <t>´Ý³å³Ñå³ÝáõÃÛ³Ý Ý³Ë³ñ³ñáõÃÛ³Ý Ñ³ïáõÏ ë³ñù³íáñáõÙÝ»ñáí Ñ³·»óí³ÍáõÃÛ³Ý µ³ñ»É³íáõÙ</t>
  </si>
  <si>
    <t>´Ý³å³Ñå³ÝáõÃÛ³Ý Ý³Ë³ñ³ñáõÃÛáõÝ</t>
  </si>
  <si>
    <t>²íïáÙ»ù»Ý³, Ñ³ï</t>
  </si>
  <si>
    <t>²íïáÙ»ù»Ý³Ý»ñÇ Ó»éùµ»ñáõÙ, ·áñÍáÕ ³íïáå³ñÏÇ Ýáñ³óáõÙ</t>
  </si>
  <si>
    <t>´Ý³å³Ñå³ÝáõÃÛ³Ý Ý³Ë³ñ³ñáõÃÛ³Ý ïñ³Ýëåáñï³ÛÇÝ ë³ñù³íáñáõÙÝ»ñáí Ñ³·»óí³ÍáõÃÛ³Ý µ³ñ»É³íáõÙ</t>
  </si>
  <si>
    <t xml:space="preserve">´Ý³å³Ñå³ÝáõÃÛ³Ý Ý³Ë³ñ³ñáõÃÛ³Ý Ñ³Ù³Ï³ñ·ã³ÛÇÝ ï»ËÝÇÏ³Ûáí ¨ ·ñ³ë»ÝÛ³Ï³ÛÇÝ ·áõÛùáí Ñ³·»óí³ÍáõÃÛáõÝ, ïáÏáë </t>
  </si>
  <si>
    <t>²ÛÉ ë³ñù³íáñáõÙÝ»ñÇ ù³Ý³Ï, Ñ³ï</t>
  </si>
  <si>
    <t>¶ñ³ë»ÝÛ³Ï³ÛÇÝ ·áõÛùÇ ÙÇ³íáñ ù³Ý³Ï, Ñ³ï</t>
  </si>
  <si>
    <t>Ð³Ù³Ï³ñ·ã³ÛÇÝ ë³ñù³íáñáõÙÝ»ñÇ ù³Ý³Ï, Ñ³ï</t>
  </si>
  <si>
    <t>Þñç³Ï³ ÙÇç³í³ÛñÇ Ý³Ë³ñ³ñáõÃÛ³Ý ï»ËÝÇÏ³Ï³Ý Ï³ñáÕáõÃÛáõÝÝ»ñÇ ÁÝ¹É³ÛÝáõÙ</t>
  </si>
  <si>
    <t>Þñç³Ï³ ÙÇç³í³ÛñÇ áÉáñïÇ Íñ³·ñ»ñÇ Ùß³ÏáõÙ ¨ Çñ³Ï³Ý³óÙ³Ý Ñ³Ù³Ï³ñ·áõÙ</t>
  </si>
  <si>
    <t>Þñç³Ï³ ÙÇç³í³ÛñÇ áÉáñïÇ Íñ³·ñ»ñÇ Çñ³Ï³Ý³óáõÙ</t>
  </si>
  <si>
    <t>ê³ÑÙ³Ýí³Í »Ý ³é³ÝÓÇÝ Íñ³·ñ»ñáõÙ</t>
  </si>
  <si>
    <t>Þñç³Ï³ ÙÇç³í³ÛñÇ áÉáñïáõÙ ù³Õ³ù³Ï³ÝáõÃÛ³Ý Ùß³ÏáõÙ, Íñ³·ñ»ñÇ Ñ³Ù³Ï³ñ·áõÙ ¨ ÙáÝÇïáñÇÝ·</t>
  </si>
  <si>
    <t>Þñç³Ï³ ÙÇç³í³ÛñÇ áÉáñïáõÙ å»ï³Ï³Ý ù³Õ³ù³Ï³ÝáõÃÛ³Ý Ùß³ÏáõÙ, Íñ³·ñ»ñÇ Ñ³Ù³Ï³ñ·áõÙ ¨ ÙáÝÇïáñÇÝ·</t>
  </si>
  <si>
    <t>Ð³Ù³ßË³ñÑ³ÛÇÝ  û¹»ñ¨áõÃ³µ³Ý³Ï³Ý  Ï³½Ù³Ï»ñåáõÃÛ³Ý  ëï³Ý¹³ñïÝ»ñÇÝ  Ñ³Ù³å³ï³ëË³ÝáõÃÛ³Ý   ³ëïÇ×³Ý,Ï³ÝË³ï»ëáõÙÝ»ñÇ  ³ñ¹³ñ³óí³ÍáõÃÛ³Ý  ïáÏáëÁ  áã  å³Ï³ë     80%-Çó,  %</t>
  </si>
  <si>
    <t>Ð³Ï³Ï³ñÏï³ÛÇÝ  ï»ËÝÇÏ³Ï³Ý  ÙÇçáóÝ»ñÇ  ÏáÝë»ñí³óÙ³Ý  ¨  ³å³ÏáÝë»ñí³óÙ³Ý,åñáýÇÉ³ÏïÇÏ  ¨  ÁÝÃ³óÇÏ  ³ßË³ï³ÝùÝ»ñ /áã  ë»½áÝ³ÛÇÝ  Å³Ù³Ý³Ï³ßñç³ÝáõÙ/, Ï³Û³ÝÝ»ñÇ ù³Ý³Ï, Ñ³ï</t>
  </si>
  <si>
    <t>ØÃÝáÉáñï³ÛÇÝ  »ñ¨áõÛÃÝ»ñÇ  íñ³  ³ÏïÇí  Ý»ñ·áñÍáõÃÛáõÝ, ûñ</t>
  </si>
  <si>
    <t>è³¹Çá³ÏïÇí  ÷áßáõ  ³Ù»ÝûñÛ³  ·áõÙ³ñ³ÛÇÝ  µ»ïï³  ³ÏïÇíáõÃÛ³Ý  ã³÷áõÙÝ»ñ  ºñ¨³ÝáõÙ,³Û¹  ÃíáõÙ  Ð²¾Î-Ç ßñç³Ï³ÛùÇ 30ÏÙ-áó ·áïáõó µ»ñí³Í  çñÇ,û¹Ç,ÑáÕÇ  ÝÙáõßÝ»ñÇ  ·áõÙ³ñ³ÛÇÝ  µ»ïï³  é³¹Çá³ÏïÇíáõÃÛ³Ý  ã³÷áõÙÝ»ñ, Ñ³ï</t>
  </si>
  <si>
    <t>·³ÙÙ³   ýáÝÇ  ã³÷áõÙÝ»ñ,¹Çï³ñÏáõÙÝ»ñÇ  ÃÇíÁ, Ñ³ï</t>
  </si>
  <si>
    <t>è³¹ÇáÉá·Ç³Ï³Ý  ¹Çï³ñÏáõÙÝ»ñ, Ñ³ï,áñÇó</t>
  </si>
  <si>
    <t>ÐÇ¹ñáÉá·Ç³Ï³Ý  ¹Çï³ñÏáõÙÝ»ñ, Ñ³ï</t>
  </si>
  <si>
    <t>²·ñáû¹»ñ¨áõÃ³µ³Ý³Ï³Ý  ¹Çï³ñÏáõÙÝ»ñ, Ñ³ï</t>
  </si>
  <si>
    <t>û½áÝáÙ»ïñÇ³Ï³Ý  ¹Çï³ñÏáõÙÝ»ñ, Ñ³ï</t>
  </si>
  <si>
    <t>³ÏïÇÝáÙ»ïñÇ³Ï³Ý  ¹Çï³ñÏáõÙÝ»ñ, Ñ³ï</t>
  </si>
  <si>
    <t>Ð»ÉÇá»ñÏñ³ýÇ½ÇÏ³Ï³Ý  ¹Çï³ñÏáõÙÝ»ñ, Ñ³ï,áñÇóª</t>
  </si>
  <si>
    <t>²»ñáÉá·Ç³Ï³Ý  ¹Çï³ñÏáõÙÝ»ñ, Ñ³ï</t>
  </si>
  <si>
    <t>ú¹»ñ¨áõÃ³µ³Ý³Ï³Ý  ¹Çï³ñÏáõÙÝ»ñ, Ñ³ï</t>
  </si>
  <si>
    <t xml:space="preserve">ú¹»ñ¨áõÃ³µ³Ý³Ï³Ý, ³»ñáÉá·Ç³Ï³Ý,Ñ»ÉÇá»ñÏñ³ýÇ½ÇÏ³Ï³Ýª ³Û¹  ÃíáõÙ  ³ÏïÇÝáÙ»ïñÇ³Ï³Ý ¨ û½áÝáÙ»ïñÇ³Ï³Ý, ³·ñáû¹»ñ¨áõÃ³µ³Ý³Ï³Ý,ÑÇ¹ñáÉá·Ç³Ï³Ý,é³¹ÇáÉá·Ç³Ï³Ý  ¨  ÙÃÝáÉáñï³ÛÇÝ  »ñ¨áõÛÃÝ»ñÇ  »ñ¨áõÛÃÝ»ñÇ é³¹ÇáÉáÏ³óÇáÝ  ¹Çï³ñÏáõÙÝ»ñ, áñáÝù  Ñ³Ù³Ï³ñ·í³Í  »Ý  ÙÇç³½·³ÛÇÝ  ëï³Ý¹³ñïÝ»ñáí։  </t>
  </si>
  <si>
    <t>ÐÇ¹ñáû¹»ñ¨áõÃ³µ³Ý³Ï³Ý  Í³é³ÛáõÃÛáõÝÝ»ñ</t>
  </si>
  <si>
    <t xml:space="preserve">Þñç³Ï³  ÙÇç³í³ÛñÇ    Ý³Ë³ñ³ñáõÃÛáõÝ   </t>
  </si>
  <si>
    <t>Þñç³Ï³ ÙÇç³í³ÛñÇ íñ³ ³½¹»óáõÃÛ³Ý ÙáÝÇÃáñÇÝ·Ç Çñ³Ï³Ý³óáõÙ, óáõó³ÝÇß</t>
  </si>
  <si>
    <t>òáõó³ÝÇßÝ»ñÇ Ñ³Ù³å³ï³ëË³ÝáõÃÛ³Ý ï»ë³Ï³ñ³ñ ÏßÇéÁ (³ñ¹ÛáõÝ³í»ïáõÃÛáõÝÁ) Íñ³·ñáí Ñ³ëï³ïí³Í ÙáÝÇÃáñÇÝ·³ÛÇÝ óáõó³ÝÇßÝ»ñÇÝ, %</t>
  </si>
  <si>
    <t>Þñç³Ï³ ÙÇç³í³ÛñÇ  ÙáÝÇÃáñÇÝ·Ç ³ñ¹ÛáõÝùÝ»ñÇ ³Ù÷á÷áõÙ, ³Û¹ ÃíáõÙ՝ ßñç³Ï³ ÙÇç³í³ÛñÇ íÇ×³ÏÇ í»ñ³µ»ñÛ³É »é³ÙëÛ³Ï³ÛÇÝ ¨ ï³ñ»Ï³Ý ï»Õ»Ï³·ñ»ñ, Ù³Ï»ñ¨áõÃ³ÛÇÝ çñ»ñÇ áñ³ÏÇ, ëïáñ»ñÏñÛ³ çñ»ñÇ ù³Ý³ÏÇ ¨ áñ³ÏÇ, ÙÃÝáÉáñï³ÛÇÝ û¹Ç áñ³ÏÇ ïíÛ³ÉÝ»ñÇ ï³ñ»Ï³Ý ³Ù÷á÷³·Çñ, Ñ³ï</t>
  </si>
  <si>
    <t>Þñç³Ï³ ÙÇç³í³ÛñÇ Ý³Ë³ñ³ñáõÃÛ³Ý ëå³ë³ñÏíáÕ Ñ³Ù³Ï³ñ·ÇãÝ»ñÇ, Ï³ÛùÇ ¨ ï»Õ³ÛÇÝ ó³Ýó»ñÇ  ÃÇí, Ñ³ï</t>
  </si>
  <si>
    <t>ØÇç³½·³ÛÇÝ É³í³·áõÛÝ ÷áñÓÇ ¨ í»ñÉáõÍáõÃÛáõÝÝ»ñÇ ³ñ¹ÛáõÝùáõÙ Ùß³Ïí³Í ï»ËÝáÉá·Ç³Ý»ñÇ ¨ ï»Õ»Ï³ïí³Ï³Ý ³ÕµÛáõñÝ»ñÇ ÃÇí, Ñ³ï</t>
  </si>
  <si>
    <t>Ü»ñÏ³Û³óí³Í í³ñã³Ï³Ý íÇ×³Ï³·ñ³Ï³Ý Ñ³ßí»ïíáõÃÛáõÝÝ»ñÇ áõëáõÙÝ³ëÇñáõÃÛáõÝ ¨ í»ñÉáõÍáõÃÛáõÝ, ³é³ç³ó³Í Ã³÷áÝÝ»ñÇ Ñ³ßí³éáõÙ ¨ ¹³ë³Ï³ñ·áõÙ, ¹ñ³Ýó ÑÇÙ³Ý íñ³ Ñ³ßí»ïíáõÃÛáõÝÝ»ñÇ Ï³½ÙáõÙ, Ñ³ßí»ïíáõÃÛáõÝÝ»ñÇ ÁÝ¹Ñ³Ýáõñ ÃÇí, Ñ³ï</t>
  </si>
  <si>
    <t>Â³÷áÝÝ»ñÇ ·áÛ³óÙ³Ý, í»ñ³Ùß³ÏÙ³Ý áõ û·ï³Ñ³ÝÙ³Ý áõëáõÙÝ³ëÇñíáÕ ûµÛ»ÏïÝ»ñÇ ¨ Ñ»é³óÙ³Ý í³Ûñ»ñÇ ÃÇí,Ñ³ï</t>
  </si>
  <si>
    <t>Þñç³Ï³ ÙÇç³í³ÛñÇ ûµÛ»ÏïÝ»ñáõÙ (ÑáÕ ¨ çáõñ) Ï³ÛáõÝ ûñ·³Ý³Ï³Ý ³ÕïáïÇãÝ»ñÇ ÙÝ³óáñ¹³ÛÇÝ ù³Ý³ÏÝ»ñÇ ÙáÝÇÃáñÇÝ·Ç Çñ³Ï³ÝóáõÙ, óáõó³ÝÇß</t>
  </si>
  <si>
    <t>êïáñ»ñÏñÛ³ ù³Õóñ³Ñ³Ù çñ»ñÇ áñ³ÏÇ ÙáÝÇÃáñÇÝ·Ç Çñ³Ï³Ý³óáõÙ՝ ÐÐ 6 çñ³í³½³Ý³ÛÇÝ Ï³é³í³ñÙ³Ý ï³ñ³ÍùÇ 40 çñ³ÕµÛáõñáõÙ çñ»ñÇ áñ³ÏÁ µÝáõÃ³·ñáÕ 30-40 ³ÕïáïÇãÝ»ñÇ í»ñ³µ»ñÛ³É ïíÛ³ÉÝ»ñ, óáõó³ÝÇß</t>
  </si>
  <si>
    <t>êïáñ»ñÏñÛ³ ù³Õóñ³Ñ³Ù çñ»ñÇ ù³Ý³ÏÇ ÙáÝÇÃáñÇÝ·Ç Çñ³Ï³ÝóáõÙ՝ ÐÐ 6 çñ³í³½³Ý³ÛÇÝ Ï³é³í³ñÙ³Ý ï³ñ³ÍùÇ 100 çñ³ÕµÛáõñáõÙ ÑÇ¹ñá»ñÏñ³µ³Ý³Ï³Ý ¹Çï³ñÏáõÙÝ»ñÇ  (çñÇ Ù³Ï³ñ¹³Ï (×ÝßáõÙ), Í³Ëë, ç»ñÙ³ëïÇ×³Ý ¨ ¹Çï³Ï»ï»ñÇ ï»Õ³½ÝÝáõÙ) í»ñ³µ»ñÛ³É ïíÛ³ÉÝ»ñ, óáõó³ÝÇß</t>
  </si>
  <si>
    <t>ºíñáå³ÛáõÙ Ù»Í Ñ»é³íáñáõÃÛáõÝÝ»ñÇ íñ³ ³Ý¹ñë³ÑÙ³Ý³ÛÇÝ ³ÕïáïÇãÝ»ñÇ ï³ñ³ÍÙ³Ý ¹Çï³ñÏáõÙÝ»ñÇ ¨ ·Ý³Ñ³ïÙ³Ý Ñ³Ù³ï»Õ (EMEP) Íñ³·ñÇ  ßñç³Ý³ÏÝ»ñáõÙ Ð³Û³ëï³ÝáõÙ û¹Ç ³Ý¹ñë³ÑÙ³Ý³ÛÇÝ ³ÕïáïÙ³Ý ÙáÝÇÃáñÇÝ·Ç Çñ³Ï³Ý³óáõÙ, óáõó³ÝÇß</t>
  </si>
  <si>
    <t xml:space="preserve"> ÐáÕ»ñÇ ³Õïáïí³ÍáõÃÛ³Ý ÙáÝÇÃáñÇÝ·Ç Çñ³Ï³Ý³óáõÙ, óáõó³ÝÇß</t>
  </si>
  <si>
    <t>²ñ³ùë ·»ïÇ ³Õïáïí³ÍáõÃÛ³Ý Ñ³Û-Çñ³Ý³Ï³Ý Ñ³Ù³ï»Õ ÙáÝÇïáñÇ·Ç Çñ³Ï³Ý³óáõÙ` ²ñ³ùë ·»ïÇ çñÇ  áñ³ÏÇ ¨ Ñ³ï³Ï³ÛÇÝ Ýëïí³ÍùÝ»ñÇ ³ÕïáïÇãÝ»ñÇ í»ñ³µ»ñÛ³É ïíÛ³ÉÝ»ñ, óáõó³ÝÇß</t>
  </si>
  <si>
    <t>ØÃÝáÉáñï³ÛÇÝ û¹Ç áñ³ÏÇ ÙáÝÇÃáñÇÝ·Ç Çñ³Ï³Ý³óáõÙ` ÐÐ 10 ù³Õ³ùáõÙ 15 ¹Çï³Ï³Û³ÝáõÙ ¨ 211 ¹Çï³Ï»ïáõÙ û¹Ç ³Õïáïí³ÍáõÃÛáõÝÁ µÝáõÃ³·ñáÕ 2-6 ³ÕïáïÇãÝ»ñÇ í»ñ³µ»ñÛ³É ïíÛ³ÉÝ»ñ, óáõó³ÝÇß</t>
  </si>
  <si>
    <t>Ø³Ï»ñ¨áõÃ³ÛÇÝ çñ»ñÇ áñ³ÏÇ ÙáÝÇÃáñÇÝ·Ç Çñ³Ï³Ý³óáõÙ՝ ÐÐ 6 çñ³í³½³Ý³ÛÇÝ Ï³é³í³ñÙ³Ý ï³ñ³ÍùÇ 14 ·»ï³í³½³ÝÇ 53 çñ³ÛÇÝ ûµÛ»ÏïÇ 144 ¹Çï³Ï»ïáõÙ çñ»ñÇ áñ³ÏÁ µÝáõÃ³·ñáÕ 40-60 ³ÕïáïÇãÝ»ñÇ í»ñ³µ»ñÛ³É ïíÛ³ÉÝ»ñ, óáõó³ÝÇß</t>
  </si>
  <si>
    <t>Þñç³Ï³ ÙÇç³í³ÛñÇ ÙáÝÇÃáñÇÝ·Ç ¨ ï»Õ»Ï³ïíáõÃÛ³Ý ïñ³Ù³¹ñÙ³Ý ³ßË³ï³ÝùÝ»ñ</t>
  </si>
  <si>
    <t>Þñç³Ï³ ÙÇç³í³ÛñÇ ÙáÝÇÃáñÇÝ· ¨ ï»Õ»Ï³ïíáõÃÛ³Ý ³å³ÑáíáõÙ</t>
  </si>
  <si>
    <t>Þñç³Ï³ ÙÇç³í³ÛñÇ íñ³ ³½¹»óáõÃÛ³Ý ÷áñÓ³ùÝÝáõÃÛ³Ý Ý»ñÏ³Û³óí³Í Ý³Ë³ï»ëíáÕ ·áñÍáõÝ»áõÃÛáõÝÝ»ñÇ ¨ ÑÇÙÝ³¹ñáõÃ³ÛÇÝ ÷³ëï³ÃÕÃ»ñÇ Ý³ËÝ³Ï³Ý ·Ý³Ñ³ïÙ³Ý Ñ³Ûï»ñÇ ï»ËÝÇÏ³Ï³Ý ³é³ç³¹ñ³ÝùÝ»ñ, Ñ³ï</t>
  </si>
  <si>
    <t xml:space="preserve">Þñç³Ï³ ÙÇç³í³ÛñÇ íñ³ ³½¹»óáõÃÛ³Ý ÷áñÓ³ùÝÝáõÃÛ³Ý Ý»ñÏ³Û³óí³Í Ý³Ë³ï»ëíáÕ ·áñÍáõÝ»áõÃÛáõÝÝ»ñÇ ¨ ÑÇÙÝ³¹ñáõÃ³ÛÇÝ ÷³ëï³ÃÕÃ»ñÇ Ý³ËÝ³Ï³Ý ·Ý³Ñ³ïÙ³Ý Ñ³Ûï»ñÇ ¨ ·Ý³Ñ³ïÙ³Ý Ñ³ßí»ïíáõÃÛáõÝÝ»ñÇ »½ñ³Ï³óáõÃÛáõÝÝ»ñ, Ñ³ï </t>
  </si>
  <si>
    <t>Þñç³Ï³ ÙÇç³í³ÛñÇ íñ³ ³½¹»óáõÃÛ³Ý ·Ý³Ñ³ïáõÙ ¨ ÷áñÓ³ùÝÝáõÃÛáõÝ</t>
  </si>
  <si>
    <t>Þñç³Ï³ ÙÇç³í³ÛñÇ íñ³ ³½¹»óáõÃÛ³Ý ·Ý³Ñ³ïáõÙ ¨ ÙáÝÇÃáñÇÝ·</t>
  </si>
  <si>
    <t>Ø²ê 4. äºî²Î²Ü Ø²ðØÜÆ ¶Ìàì ²ð¸ÚàôÜø²ÚÆÜ (Î²î²ðàÔ²Î²Ü) òàôò²ÜÆÞÜºðÀ</t>
  </si>
  <si>
    <t>ä»ï³Ï³Ý Ù³ñÙÝÇ (´¶Î) ³Ýí³ÝáõÙÁ՝</t>
  </si>
  <si>
    <t>ä»ï³Ï³Ý Ù³ñÙÝÇ (´¶Î) ·»ñ³ï»ëã³Ï³Ý ¹³ëÇãÁ՝</t>
  </si>
  <si>
    <t>ÐÐ Ï³é³í³ñáõÃÛ³Ý 2019Ã Ù³ÛÇëÇ 16-Ç N 650-È áñáßÙ³Ý Ñ³í»Éí³Í 1</t>
  </si>
  <si>
    <t>´Ý³·Çï³Ï³Ý ÝÙáõßÝ»ñÇ Ñ³Ýñ³ÛÝ³óÙ³Ý ¨ ¿ÏáÏñÃ³Ï³Ý  Ý³Ë³·Í»ñÇ ù³Ý³Ï, Ñ³ï</t>
  </si>
  <si>
    <t>1186  ´Ý³·Çï³Ï³Ý ÝÙáõßÝ»ñÇ å³Ñå³ÝáõÃÛáõÝ ¨ óáõó³¹ñáõÃÛáõÝ</t>
  </si>
  <si>
    <t xml:space="preserve">Üå³ëï»É µÝ³å³Ñå³Ý³Ï³Ý ³ßË³ñÑ³Û³óùÇ Ó¨³íáñÙ³ÝÁ, µÝ³ÏãáõÃÛ³Ý ¿ÏáÉá·Ç³Ï³Ý ¹³ëïÇ³ñ³ÏáõÃÛ³ÝÁ
</t>
  </si>
  <si>
    <t>²Ýï³éí»ñ³Ï³Ý·Ýí³Í ï³ñ³ÍùÝ»ñ, Ñ³</t>
  </si>
  <si>
    <t>²Ýï³é³ÛÇÝ å³ß³ñÝ»ñÇ û·ï³·áñÍáõÙÇó ëï³óí³Í »Ï³ÙáõïÝ»ñ, Ñ³½³ñ ¹ñ³Ù</t>
  </si>
  <si>
    <t xml:space="preserve">Î³é³í³ñ»ÉÇ ³Ýï³é³ÛÇÝ ï³ñ³ÍùÝ»ñáõÙ ³ñÓ³Ý³·ñí³Í ³ÝûñÇÝ³Ï³Ý ³Ýï³éÑ³ïáõÙÝ»ñÇ ù³Ý³Ï, Ñ³ï </t>
  </si>
  <si>
    <t>1173  ²Ýï³éÝ»ñÇ Ï³é³í³ñáõÙ</t>
  </si>
  <si>
    <t>àñë³·áÕáõÃÛ³Ý Ýí³½áõÙ, ïáÏáë</t>
  </si>
  <si>
    <t>²åûñÇÝÇ Ñ³ïí³Í Í³é»ñÇ ù³Ý³ÏÇ Ýí³½áõÙ, Ñ³ï</t>
  </si>
  <si>
    <t>1155  ´Ý³Ï³Ý å³ß³ñÝ»ñÇ µÝáõÃÛ³Ý Ñ³ïáõÏ å³Ñå³ÝíáÕ ï³ñ³ÍùÝ»ñÇ Ï³é³í³ñáõÙ å³Ñå³ÝáõÙ</t>
  </si>
  <si>
    <t xml:space="preserve">´Ý³å³Ñå³Ý³Ï³Ý Íñ³·ñ»ñ Çñ³Ï³Ý³óÝáÕ  Ñ³Ù³ÛÝùÝ»ñÇ Ù³ëÝ³µ³ÅÇÝÁ ³½¹³ÏÇñ Ñ³Ù³ÛÝùÝ»ñÇ ÝÏ³ïÙ³Ùµ, ïáÏáë  </t>
  </si>
  <si>
    <t>1133  ´Ý³å³Ñå³Ý³Ï³Ý Íñ³·ñ»ñÇ Çñ³Ï³Ý³óáõÙ Ñ³Ù³ÛÝùÝ»ñáõÙ</t>
  </si>
  <si>
    <t>1071  ´Ý³å³Ñå³ÝáõÃÛ³Ý áÉáñïáõÙ 
å»ï³Ï³Ý ù³Õ³ù³Ï³ÝáõÃÛ³Ý Ùß³ÏáõÙ, Íñ³·ñ»ñÇ Ñ³Ù³Ï³ñ·áõÙ  ÙáÝÇïáñÇÝ·</t>
  </si>
  <si>
    <t>ØÃÝáÉáñï³ÛÇÝ  »ñ¨áõÛÃÝ»ñÇ  íñ³  ³ÏïÇí  Ý»ñ·áñÍáõÃÛ³Ý ¹»åù»ñÁ  ³ñÓ³Ý³·ñí³Í  ÁÝ¹³Ù»ÝÁ  Ï³ñÏï³ÛÇÝ  »ñ¨áõÛÃÝ»ñÇ ÝÏ³ïÙ³Ùµ, ïáÏáë</t>
  </si>
  <si>
    <t xml:space="preserve">ÐÐ Ï³é³í³ñáõÃÛ³Ý 2019-2023ÃÃ. ·áñÍáõÝ»áõÃÛ³Ý Íñ³·Çñ </t>
  </si>
  <si>
    <t>ìï³Ý·³íáñ,³Õ»ï³ÉÇ »ñ¨áõÛÃÝ»ñÇ  í»ñ³µ»ñÛ³É   µÝ³ÏãáõÃÛ³Ý  Çñ³½»ÏÙ³Ý  Ù³Ï³ñ¹³ÏÇ ÇÝùÝ³·Ý³Ñ³ï³Ï³Ý: ºÕ³Ý³Ï³ÛÇÝ  Ï³ñ×³Å³ÙÏ»ï  Ï³ÝË³ï»ëáõÙÝ»ñÇ  ×ß·ñïáõÃÛ³Ý  ³ëïÇ×³ÝÁ, ïáÏáë</t>
  </si>
  <si>
    <t>1020 ÐÇ¹ñáû¹»ñ¨áõÃ³µ³Ý³Ï³Ý  Í³é³ÛáõÃÛáõÝÝ»ñ</t>
  </si>
  <si>
    <t>Þñç³Ï³ ÙÇç³í³ÛñÇ µ³Õ³¹ñÇãÝ»ñÇ íÇ×³ÏÇ í»ñ³µ»ñÛ³É Ùß³ÏíáÕ ï»Õ»Ï³ïíáõÃÛ³Ý ³ÙµáÕç³Ï³ÝáõÃÛáõÝ,
ïáÏáë</t>
  </si>
  <si>
    <t>1016  Þñç³Ï³ ÙÇç³í³ÛñÇ íñ³ ³½¹»óáõÃÛ³Ý ·Ý³Ñ³ïáõÙ  ÙáÝÇÃáñÇÝ·</t>
  </si>
  <si>
    <t>Ä³ÙÏ»ïÁ</t>
  </si>
  <si>
    <t>òáõó³ÝÇßÁ</t>
  </si>
  <si>
    <t>ÂÇñ³ËÁ</t>
  </si>
  <si>
    <t>ºÉ³Ï»ïÁ</t>
  </si>
  <si>
    <t>â³÷áñáßÇãÁ</t>
  </si>
  <si>
    <t>Î³åÁ ÐÐ Ï³é³í³ñáõÃÛ³Ý Íñ³·ñáí ë³ÑÙ³Ýí³Í ù³Õ³ù³Ï³ÝáõÃÛ³Ý ÃÇñ³ËÝ»ñÇ Ñ»ï</t>
  </si>
  <si>
    <t>Ìñ³·ñÇ í»ñçÝ³Ï³Ý ³ñ¹ÛáõÝùÝ»ñÁ</t>
  </si>
  <si>
    <t>Ìñ³·ñÇ ¹³ëÇãÁ ¨ ³Ýí³ÝáõÙÁ</t>
  </si>
  <si>
    <t>Üå³ï³ÏÁ</t>
  </si>
  <si>
    <t>Ø²ê 3 äºî²Î²Ü Ø²ðØÜÆ Ìð²¶ðºðÆ ¶Ìàì ìºðæÜ²Î²Ü ²ð¸ÚàôÜøÆ òàôò²ÜÆÞÜºðÀ</t>
  </si>
  <si>
    <t>ä»ï³Ï³Ý Ù³ñÙÝÇ ·»ñ³ï»ëã³Ï³Ý ¹³ëÇãÁ՝</t>
  </si>
  <si>
    <t>î³ñ³Íù³ÛÇÝ Ï³é³í³ñÙ³Ý ¨ ½³ñ·³óÙ³Ý Ý³Ë³ñ³ñáõÃÛáõÝ</t>
  </si>
  <si>
    <t>Þñç³Ï³ ÙÇç³í³ÛñÇ  Ý³Ë³ñ³ñáõÃÛ³Ý ²Ýï³é³ÛÇÝ ÏáÙÇï»Ç ï»ËÝÇÏ³Ï³Ý Ï³ñáÕáõÃÛáõÝÝ»ñÇ ÁÝ¹É³ÛÝáõÙ</t>
  </si>
  <si>
    <t xml:space="preserve">§¼ÇÏ³ï³ñ¦ å»ï³Ï³Ý ³ñ·»É³í³ÛñÇ å³Ñå³ÝáõÃÛուÝ </t>
  </si>
  <si>
    <t>§²ñ÷Ç ÉÇ×¦ ³½·³ÛÇÝ å³ñÏÇ å³Ñå³ÝáõÃÛ³Ý, å³ñÏáõÙ ·Çï³Ï³Ý áõëáõÙÝ³ëÇñáõÃÛáõÝÝ»ñÇ Ï³ï³ñáõÙ</t>
  </si>
  <si>
    <t>ÀÜ¸²ØºÜÀ</t>
  </si>
  <si>
    <t>ØÇçáó³éáõÙ</t>
  </si>
  <si>
    <t>¶áõÙ³ñÁ (Ñ³½³ñ ¹ñ³Ù)</t>
  </si>
  <si>
    <t>Ìñ³·ñÇ/ ØÇçáó³éÙ³Ý/ Ï³ï³ñáÕ Ñ³Ý¹Çë³óáÕ å»ï³Ï³Ý Ù³ñÙÝÇ ³Ýí³ÝáõÙÁ</t>
  </si>
  <si>
    <t>Ìñ³·ñ³ÛÇÝ ¹³ëÇãÁ</t>
  </si>
  <si>
    <t>ä»ï³Ï³Ý Ù³ñÙÝÇ å³ï³ëË³Ý³ïíáõÃÛ³Ùµ Çñ³Ï³Ý³óíáÕ µÛáõç»ï³ÛÇÝ Íñ³·ñ»ñÝ áõ ÙÇçáó³éáõÙÝ»ñÇ µ³óí³ÍùÝ Áëï Ï³ï³ñáÕ՝ å»ï³Ï³Ý Ù³ñÙÇÝÝ»ñÇ</t>
  </si>
  <si>
    <t>Աղյուսակ Ա.</t>
  </si>
  <si>
    <t xml:space="preserve">  Շրջակա միջավայրի նախարարության կողմից ՀՀ 2021-2023թթ. միջնաժամկետ ծախսային ծրագրերի (ՄԺԾԾ) բյուջետային հայտ 
(գործող ծրագրեր)</t>
  </si>
  <si>
    <t xml:space="preserve">«Շրջակա միջավայրի վրա ազդեցության փորձաքննական կենտրոն» ՊՈԱԿ </t>
  </si>
  <si>
    <t xml:space="preserve">«Շրջակա միջավայրի մոնիթորինգի և տեղեկատվության կենտրոն» ՊՈԱԿ </t>
  </si>
  <si>
    <t xml:space="preserve"> Բնապահպանության ոլորտում պետական քաղաքականության մշակում՝ ծրագրերի համակարգում և մոնիտորինգ</t>
  </si>
  <si>
    <t xml:space="preserve"> Շրջակա միջավայրի նախարարության աշխատակազմի պահպանման ծախսեր</t>
  </si>
  <si>
    <t>«ԾԻԳ» պահպանման ծախսեր</t>
  </si>
  <si>
    <t>Շրջակա միջավայրի նախարարության տեխնիկական կարողությունների ընդլայնում</t>
  </si>
  <si>
    <t xml:space="preserve"> Գերմանիայի զարգացման վարկերի բանկի (KFW)  դրամաշնորհային ծրագիր (ընթացիկ)</t>
  </si>
  <si>
    <t xml:space="preserve"> Սևանա լճում և նրա ջրահավաք ավազանում ձկան և  խեցգետնի պաշարների հաշվառում</t>
  </si>
  <si>
    <t xml:space="preserve"> «Սևան» ազգային պարկի պահպանության՝ պարկում գիտական ուսումնասիրությունների՝ անտառատնտեսական աշխատանքների կատարում</t>
  </si>
  <si>
    <t xml:space="preserve"> «Դիլիջան» ազգային պարկի պահպանության՝ պարկում գիտական ուսումնասիրությունների՝ անտառատնտեսական աշխատանքների կատարում</t>
  </si>
  <si>
    <t xml:space="preserve"> «Արգելոցապարկային համալիր» ՊՈԱԿ-ի տնօրինության ներքո գտնվող ԲՀՊ տարածքների պահպանության գիտական  ուսումնասիրությունների, անտառտնտեսական աշխատանքների կատարում</t>
  </si>
  <si>
    <t xml:space="preserve"> «Խոսրովի անտառ» պետական արգելոցի պահպանության՝ գիտական ուսումնասիրությունների կատարում</t>
  </si>
  <si>
    <t xml:space="preserve"> «Արփի լիճ» ազգային պարկի պահպանության՝ պարկում գիտական ուսումնասիրությունների կատարում</t>
  </si>
  <si>
    <t xml:space="preserve"> Զանգեզուր կենսոլորտային համալիր  ԲՀՊ տարածքների պահպանության՝ գիտական ուսումնասիրությունների՝ անտառատնտեսական աշխատանքների կատարում</t>
  </si>
  <si>
    <t xml:space="preserve"> Գերմանիայի զարգացման վարկերի բանկի (KFW)  դրամաշնորհային ծրագիր (տրանսվերտ)</t>
  </si>
  <si>
    <t xml:space="preserve"> Գերմանիայի զարգացման վարկերի բանկի (KFW)  դրամաշնորհային ծրագիր (կապիտալ)</t>
  </si>
  <si>
    <t xml:space="preserve"> Անտառային կոմիտեի պահպանման ծախսեր</t>
  </si>
  <si>
    <t xml:space="preserve"> «Հայանտառ» ՊՈԱԿ</t>
  </si>
  <si>
    <t xml:space="preserve"> Շրջակա միջավայրի նախարարության Անտառային կոմիտեի տեխնիկական կարողությունների ընդլայնում</t>
  </si>
  <si>
    <t>Շրջակա միջավայրի նախարարության Անտառային կոմիտեի շենքային պայմանների բարելավում</t>
  </si>
  <si>
    <t>«Կենդանաբանական այգի» ՀՈԱԿ</t>
  </si>
  <si>
    <t>ՀՀ 2021-2023 ՄԺԾԾ  բյուջետային հայտ
(գործող ծրագրեր)</t>
  </si>
  <si>
    <t xml:space="preserve">  Շրջակա միջավայրի նախարարության կողմից ՀՀ 2021-2023 թթ. միջնաժամկետ ծախսային ծրագրերի (ՄԺԾԾ) բյուջետային հայտ 
(գործող ծրագրեր)</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</si>
</sst>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_);_(* \(#,##0.0\);_(* &quot;-&quot;??_);_(@_)"/>
    <numFmt numFmtId="165" formatCode="0.0"/>
    <numFmt numFmtId="166" formatCode="_-* #,##0.00_р_._-;\-* #,##0.00_р_._-;_-* &quot;-&quot;??_р_._-;_-@_-"/>
    <numFmt numFmtId="167" formatCode="#,##0.0"/>
    <numFmt numFmtId="168" formatCode="_(* #,##0_);_(* \(#,##0\);_(* &quot;-&quot;??_);_(@_)"/>
    <numFmt numFmtId="169" formatCode="_-* #,##0.00_-;\-* #,##0.00_-;_-* &quot;-&quot;??_-;_-@_-"/>
    <numFmt numFmtId="170" formatCode="0_);\(0\)"/>
    <numFmt numFmtId="171" formatCode="##,##0.0;\(##,##0.0\);\-"/>
    <numFmt numFmtId="172" formatCode="#,##0.0_);\(#,##0.0\)"/>
    <numFmt numFmtId="173" formatCode="_-* #,##0.0_р_._-;\-* #,##0.0_р_._-;_-* &quot;-&quot;??_р_._-;_-@_-"/>
    <numFmt numFmtId="174" formatCode="0.000"/>
  </numFmts>
  <fonts count="144">
    <font>
      <sz val="11"/>
      <color theme="1"/>
      <name val="Calibri"/>
      <family val="2"/>
      <scheme val="minor"/>
    </font>
    <font>
      <sz val="11"/>
      <color theme="1"/>
      <name val="Calibri"/>
      <family val="2"/>
      <scheme val="minor"/>
    </font>
    <font>
      <b/>
      <sz val="11"/>
      <color theme="1"/>
      <name val="Calibri"/>
      <family val="2"/>
      <scheme val="minor"/>
    </font>
    <font>
      <b/>
      <sz val="12"/>
      <color theme="1"/>
      <name val="GHEA Grapalat"/>
      <family val="3"/>
    </font>
    <font>
      <sz val="9"/>
      <color theme="1"/>
      <name val="GHEA Grapalat"/>
      <family val="3"/>
    </font>
    <font>
      <sz val="10"/>
      <color theme="1"/>
      <name val="Arial AM"/>
      <family val="2"/>
    </font>
    <font>
      <i/>
      <sz val="9"/>
      <color theme="1"/>
      <name val="GHEA Grapalat"/>
      <family val="3"/>
    </font>
    <font>
      <b/>
      <sz val="10"/>
      <color theme="1"/>
      <name val="GHEA Grapalat"/>
      <family val="3"/>
    </font>
    <font>
      <sz val="8"/>
      <color theme="1"/>
      <name val="GHEA Grapalat"/>
      <family val="3"/>
    </font>
    <font>
      <u/>
      <sz val="11"/>
      <color theme="10"/>
      <name val="Calibri"/>
      <family val="2"/>
      <scheme val="minor"/>
    </font>
    <font>
      <sz val="10"/>
      <name val="Arial"/>
      <family val="2"/>
    </font>
    <font>
      <sz val="9"/>
      <name val="GHEA Grapalat"/>
      <family val="3"/>
    </font>
    <font>
      <i/>
      <sz val="8"/>
      <name val="GHEA Grapalat"/>
      <family val="3"/>
    </font>
    <font>
      <sz val="8"/>
      <name val="GHEA Grapalat"/>
      <family val="3"/>
    </font>
    <font>
      <sz val="8"/>
      <name val="GHEA Grapalat"/>
      <family val="2"/>
    </font>
    <font>
      <i/>
      <sz val="9"/>
      <name val="GHEA Grapalat"/>
      <family val="3"/>
    </font>
    <font>
      <b/>
      <sz val="10"/>
      <color theme="1"/>
      <name val="Arial AM"/>
      <family val="2"/>
    </font>
    <font>
      <sz val="10"/>
      <name val="Arial AM"/>
      <family val="2"/>
    </font>
    <font>
      <sz val="10"/>
      <color indexed="8"/>
      <name val="Arial Armenian"/>
      <family val="2"/>
    </font>
    <font>
      <sz val="10"/>
      <color indexed="8"/>
      <name val="Arial AM"/>
      <family val="2"/>
    </font>
    <font>
      <sz val="10"/>
      <name val="Arial Armenian"/>
      <family val="2"/>
    </font>
    <font>
      <b/>
      <sz val="8"/>
      <name val="GHEA Grapalat"/>
      <family val="3"/>
    </font>
    <font>
      <b/>
      <sz val="10"/>
      <name val="GHEA Grapalat"/>
      <family val="3"/>
    </font>
    <font>
      <b/>
      <sz val="10"/>
      <color theme="1"/>
      <name val="Calibri"/>
      <family val="2"/>
      <scheme val="minor"/>
    </font>
    <font>
      <b/>
      <i/>
      <sz val="8"/>
      <name val="GHEA Grapalat"/>
      <family val="3"/>
    </font>
    <font>
      <b/>
      <sz val="9"/>
      <name val="GHEA Grapalat"/>
      <family val="3"/>
    </font>
    <font>
      <sz val="9"/>
      <name val="Arial AM"/>
      <family val="2"/>
    </font>
    <font>
      <sz val="9"/>
      <color theme="1"/>
      <name val="Calibri"/>
      <family val="2"/>
      <scheme val="minor"/>
    </font>
    <font>
      <sz val="10"/>
      <name val="GHEA Grapalat"/>
      <family val="3"/>
    </font>
    <font>
      <i/>
      <sz val="10"/>
      <name val="GHEA Grapalat"/>
      <family val="3"/>
    </font>
    <font>
      <i/>
      <sz val="10"/>
      <color theme="1"/>
      <name val="GHEA Grapalat"/>
      <family val="3"/>
    </font>
    <font>
      <i/>
      <sz val="10"/>
      <color theme="1"/>
      <name val="Calibri"/>
      <family val="2"/>
      <scheme val="minor"/>
    </font>
    <font>
      <sz val="10"/>
      <name val="Arial"/>
      <family val="2"/>
    </font>
    <font>
      <sz val="10"/>
      <color indexed="8"/>
      <name val="GHEA Grapalat"/>
      <family val="3"/>
    </font>
    <font>
      <b/>
      <i/>
      <sz val="9"/>
      <color theme="1"/>
      <name val="GHEA Grapalat"/>
      <family val="3"/>
    </font>
    <font>
      <b/>
      <sz val="11"/>
      <color theme="1"/>
      <name val="GHEA Grapalat"/>
      <family val="3"/>
    </font>
    <font>
      <b/>
      <i/>
      <sz val="10"/>
      <color theme="1"/>
      <name val="GHEA Grapalat"/>
      <family val="3"/>
    </font>
    <font>
      <sz val="10"/>
      <color theme="1"/>
      <name val="GHEA Grapalat"/>
      <family val="3"/>
    </font>
    <font>
      <sz val="10"/>
      <color theme="1"/>
      <name val="Calibri"/>
      <family val="2"/>
      <scheme val="minor"/>
    </font>
    <font>
      <b/>
      <sz val="11"/>
      <name val="GHEA Grapalat"/>
      <family val="3"/>
    </font>
    <font>
      <b/>
      <u/>
      <sz val="11"/>
      <name val="Calibri"/>
      <family val="2"/>
      <scheme val="minor"/>
    </font>
    <font>
      <sz val="10"/>
      <name val="Arial LatArm"/>
      <family val="2"/>
    </font>
    <font>
      <b/>
      <sz val="9"/>
      <color theme="1"/>
      <name val="GHEA Grapalat"/>
      <family val="3"/>
    </font>
    <font>
      <u/>
      <sz val="10"/>
      <name val="GHEA Grapalat"/>
      <family val="3"/>
    </font>
    <font>
      <sz val="11"/>
      <color theme="1"/>
      <name val="GHEA Grapalat"/>
      <family val="3"/>
    </font>
    <font>
      <sz val="11"/>
      <name val="GHEA Grapalat"/>
      <family val="3"/>
    </font>
    <font>
      <b/>
      <sz val="9"/>
      <color theme="1"/>
      <name val="Calibri"/>
      <family val="2"/>
      <scheme val="minor"/>
    </font>
    <font>
      <sz val="10"/>
      <color indexed="8"/>
      <name val="MS Sans Serif"/>
      <family val="2"/>
    </font>
    <font>
      <b/>
      <i/>
      <u/>
      <sz val="10"/>
      <name val="GHEA Grapalat"/>
      <family val="3"/>
    </font>
    <font>
      <sz val="10"/>
      <name val="Times New Roman"/>
      <family val="1"/>
    </font>
    <font>
      <sz val="12"/>
      <name val="Times New Roman"/>
      <family val="1"/>
    </font>
    <font>
      <b/>
      <sz val="11"/>
      <color rgb="FFFF0000"/>
      <name val="GHEA Grapalat"/>
      <family val="3"/>
    </font>
    <font>
      <sz val="10"/>
      <color indexed="8"/>
      <name val="MS Sans Serif"/>
      <family val="2"/>
      <charset val="204"/>
    </font>
    <font>
      <sz val="9"/>
      <name val="GHEA Mariam"/>
      <family val="3"/>
    </font>
    <font>
      <b/>
      <sz val="12"/>
      <color indexed="10"/>
      <name val="GHEA Grapalat"/>
      <family val="3"/>
    </font>
    <font>
      <b/>
      <sz val="8"/>
      <color indexed="8"/>
      <name val="GHEA Grapalat"/>
      <family val="3"/>
    </font>
    <font>
      <sz val="10"/>
      <name val="Arial"/>
      <family val="2"/>
      <charset val="204"/>
    </font>
    <font>
      <sz val="11"/>
      <color theme="1"/>
      <name val="Arial Armenian"/>
      <family val="2"/>
    </font>
    <font>
      <u/>
      <sz val="11"/>
      <color theme="10"/>
      <name val="Calibri"/>
      <family val="2"/>
      <charset val="1"/>
    </font>
    <font>
      <sz val="11"/>
      <color indexed="8"/>
      <name val="Calibri"/>
      <family val="2"/>
      <charset val="204"/>
    </font>
    <font>
      <sz val="11"/>
      <color indexed="9"/>
      <name val="Calibri"/>
      <family val="2"/>
      <charset val="204"/>
    </font>
    <font>
      <sz val="10"/>
      <name val="Times Armenian"/>
      <family val="1"/>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0"/>
      <name val="Arial AM"/>
      <family val="2"/>
    </font>
    <font>
      <i/>
      <sz val="8"/>
      <name val="GHEA Grapalat"/>
      <family val="2"/>
    </font>
    <font>
      <sz val="9"/>
      <color indexed="8"/>
      <name val="GHEA Grapalat"/>
      <family val="3"/>
    </font>
    <font>
      <b/>
      <sz val="12"/>
      <name val="GHEA Grapalat"/>
      <family val="3"/>
    </font>
    <font>
      <b/>
      <sz val="10"/>
      <name val="Arial"/>
      <family val="2"/>
    </font>
    <font>
      <b/>
      <sz val="9"/>
      <name val="Arial"/>
      <family val="2"/>
    </font>
    <font>
      <i/>
      <sz val="8"/>
      <name val="Arial"/>
      <family val="2"/>
    </font>
    <font>
      <b/>
      <sz val="11"/>
      <name val="Arial"/>
      <family val="2"/>
    </font>
    <font>
      <b/>
      <sz val="9"/>
      <name val="Times New Roman"/>
      <family val="1"/>
    </font>
    <font>
      <b/>
      <sz val="10"/>
      <name val="Times New Roman"/>
      <family val="1"/>
    </font>
    <font>
      <sz val="12"/>
      <name val="GHEA Grapalat"/>
      <family val="3"/>
    </font>
    <font>
      <sz val="12"/>
      <color theme="1"/>
      <name val="GHEA Grapalat"/>
      <family val="3"/>
    </font>
    <font>
      <u/>
      <sz val="12"/>
      <name val="GHEA Grapalat"/>
      <family val="3"/>
    </font>
    <font>
      <b/>
      <u/>
      <sz val="12"/>
      <name val="GHEA Grapalat"/>
      <family val="3"/>
    </font>
    <font>
      <b/>
      <sz val="10"/>
      <color rgb="FFFF0000"/>
      <name val="GHEA Grapalat"/>
      <family val="3"/>
    </font>
    <font>
      <i/>
      <sz val="8"/>
      <name val="Arial Armenian"/>
      <family val="2"/>
    </font>
    <font>
      <i/>
      <sz val="10"/>
      <color theme="1"/>
      <name val="Arial Armenian"/>
      <family val="2"/>
    </font>
    <font>
      <sz val="8"/>
      <name val="Arial Armenian"/>
      <family val="2"/>
    </font>
    <font>
      <sz val="10"/>
      <color theme="1"/>
      <name val="Arial Armenian"/>
      <family val="2"/>
    </font>
    <font>
      <i/>
      <sz val="10"/>
      <color rgb="FF000000"/>
      <name val="Arial Armenian"/>
      <family val="2"/>
    </font>
    <font>
      <i/>
      <sz val="10"/>
      <name val="Arial Armenian"/>
      <family val="2"/>
    </font>
    <font>
      <i/>
      <sz val="8"/>
      <color theme="1"/>
      <name val="Arial Armenian"/>
      <family val="2"/>
    </font>
    <font>
      <b/>
      <i/>
      <sz val="10"/>
      <color rgb="FF00B050"/>
      <name val="Arial Armenian"/>
      <family val="2"/>
    </font>
    <font>
      <i/>
      <sz val="10"/>
      <color rgb="FF00B050"/>
      <name val="Arial Armenian"/>
      <family val="2"/>
    </font>
    <font>
      <i/>
      <sz val="9"/>
      <color rgb="FF000000"/>
      <name val="Arial Armenian"/>
      <family val="2"/>
    </font>
    <font>
      <i/>
      <sz val="12"/>
      <color theme="1"/>
      <name val="Arial Armenian"/>
      <family val="2"/>
    </font>
    <font>
      <sz val="12"/>
      <color theme="1"/>
      <name val="Calibri"/>
      <family val="2"/>
      <charset val="1"/>
      <scheme val="minor"/>
    </font>
    <font>
      <sz val="8"/>
      <color theme="1"/>
      <name val="Arial Armenian"/>
      <family val="2"/>
    </font>
    <font>
      <sz val="12"/>
      <color theme="1"/>
      <name val="Arial Armenian"/>
      <family val="2"/>
    </font>
    <font>
      <b/>
      <sz val="10"/>
      <color theme="1"/>
      <name val="Arial Armenian"/>
      <family val="2"/>
    </font>
    <font>
      <sz val="11"/>
      <color theme="1"/>
      <name val="Calibri"/>
      <family val="2"/>
      <charset val="1"/>
      <scheme val="minor"/>
    </font>
    <font>
      <b/>
      <sz val="10"/>
      <color rgb="FFC00000"/>
      <name val="Arial Armenian"/>
      <family val="2"/>
    </font>
    <font>
      <sz val="9"/>
      <color indexed="81"/>
      <name val="Tahoma"/>
      <family val="2"/>
    </font>
    <font>
      <b/>
      <sz val="9"/>
      <color indexed="81"/>
      <name val="Tahoma"/>
      <family val="2"/>
    </font>
    <font>
      <sz val="10"/>
      <name val="Helv"/>
      <charset val="204"/>
    </font>
    <font>
      <b/>
      <sz val="8"/>
      <color theme="1"/>
      <name val="Arial Armenian"/>
      <family val="2"/>
    </font>
    <font>
      <sz val="10"/>
      <color rgb="FFFF0000"/>
      <name val="Arial Armenian"/>
      <family val="2"/>
    </font>
    <font>
      <sz val="11"/>
      <name val="Arial Armenian"/>
      <family val="2"/>
    </font>
    <font>
      <sz val="8"/>
      <color rgb="FF000000"/>
      <name val="Arial Armenian"/>
      <family val="2"/>
    </font>
    <font>
      <i/>
      <sz val="8"/>
      <color rgb="FF000000"/>
      <name val="Arial Armenian"/>
      <family val="2"/>
    </font>
    <font>
      <i/>
      <sz val="11"/>
      <name val="Arial Armenian"/>
      <family val="2"/>
    </font>
    <font>
      <b/>
      <sz val="10"/>
      <name val="Arial Armenian"/>
      <family val="2"/>
    </font>
    <font>
      <b/>
      <sz val="11"/>
      <name val="Arial Armenian"/>
      <family val="2"/>
    </font>
    <font>
      <vertAlign val="superscript"/>
      <sz val="10"/>
      <name val="Arial Armenian"/>
      <family val="2"/>
    </font>
    <font>
      <i/>
      <sz val="10"/>
      <color rgb="FFFF0000"/>
      <name val="Arial Armenian"/>
      <family val="2"/>
    </font>
    <font>
      <sz val="10"/>
      <color theme="1"/>
      <name val="Arial LatArm"/>
      <family val="2"/>
    </font>
    <font>
      <i/>
      <sz val="10"/>
      <color theme="1"/>
      <name val="Arial LatArm"/>
      <family val="2"/>
    </font>
    <font>
      <i/>
      <sz val="10"/>
      <name val="Arial LatArm"/>
      <family val="2"/>
    </font>
    <font>
      <i/>
      <sz val="8"/>
      <name val="Arial LatArm"/>
      <family val="2"/>
    </font>
    <font>
      <i/>
      <sz val="10"/>
      <color rgb="FFFF0000"/>
      <name val="Arial LatArm"/>
      <family val="2"/>
    </font>
    <font>
      <b/>
      <i/>
      <sz val="10"/>
      <name val="Arial Armenian"/>
      <family val="2"/>
    </font>
    <font>
      <sz val="10"/>
      <color rgb="FFC00000"/>
      <name val="Arial Armenian"/>
      <family val="2"/>
    </font>
    <font>
      <sz val="10"/>
      <color indexed="48"/>
      <name val="Arial Armenian"/>
      <family val="2"/>
    </font>
    <font>
      <sz val="11"/>
      <color rgb="FFFF0000"/>
      <name val="Arial Armenian"/>
      <family val="2"/>
    </font>
    <font>
      <sz val="10"/>
      <color rgb="FF000000"/>
      <name val="Arial Armenian"/>
      <family val="2"/>
    </font>
    <font>
      <b/>
      <sz val="10"/>
      <color rgb="FFFF0000"/>
      <name val="Arial Armenian"/>
      <family val="2"/>
    </font>
    <font>
      <sz val="9"/>
      <color theme="1"/>
      <name val="Arial Armenian"/>
      <family val="2"/>
    </font>
    <font>
      <i/>
      <sz val="9"/>
      <name val="Arial Armenian"/>
      <family val="2"/>
    </font>
    <font>
      <sz val="10"/>
      <color theme="1"/>
      <name val="Calibri"/>
      <family val="2"/>
      <charset val="1"/>
      <scheme val="minor"/>
    </font>
    <font>
      <sz val="14"/>
      <color theme="1"/>
      <name val="Calibri"/>
      <family val="2"/>
      <charset val="1"/>
      <scheme val="minor"/>
    </font>
    <font>
      <i/>
      <sz val="10"/>
      <color theme="0"/>
      <name val="Arial Armenian"/>
      <family val="2"/>
    </font>
    <font>
      <sz val="9"/>
      <name val="Arial Armenian"/>
      <family val="2"/>
    </font>
    <font>
      <sz val="14"/>
      <color theme="1"/>
      <name val="Arial Armenian"/>
      <family val="2"/>
    </font>
    <font>
      <sz val="9"/>
      <color indexed="81"/>
      <name val="Arial Armenian"/>
      <family val="2"/>
    </font>
    <font>
      <u/>
      <sz val="11"/>
      <color theme="10"/>
      <name val="Arial Armenian"/>
      <family val="2"/>
    </font>
    <font>
      <i/>
      <sz val="11"/>
      <color theme="1"/>
      <name val="Arial Armenian"/>
      <family val="2"/>
    </font>
    <font>
      <sz val="10"/>
      <name val="Arial"/>
      <family val="2"/>
    </font>
  </fonts>
  <fills count="4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CCCCCC"/>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CCFFCC"/>
        <bgColor indexed="64"/>
      </patternFill>
    </fill>
    <fill>
      <patternFill patternType="solid">
        <fgColor rgb="FFFFFFFF"/>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FF00"/>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8"/>
      </left>
      <right/>
      <top style="thin">
        <color indexed="8"/>
      </top>
      <bottom/>
      <diagonal/>
    </border>
    <border>
      <left style="thin">
        <color indexed="64"/>
      </left>
      <right style="thin">
        <color indexed="64"/>
      </right>
      <top style="thin">
        <color indexed="8"/>
      </top>
      <bottom style="thin">
        <color indexed="64"/>
      </bottom>
      <diagonal/>
    </border>
    <border>
      <left style="hair">
        <color indexed="64"/>
      </left>
      <right style="thin">
        <color indexed="64"/>
      </right>
      <top/>
      <bottom/>
      <diagonal/>
    </border>
    <border>
      <left style="medium">
        <color indexed="64"/>
      </left>
      <right/>
      <top style="hair">
        <color indexed="64"/>
      </top>
      <bottom style="hair">
        <color indexed="64"/>
      </bottom>
      <diagonal/>
    </border>
    <border>
      <left style="thin">
        <color indexed="8"/>
      </left>
      <right style="thin">
        <color indexed="64"/>
      </right>
      <top style="thin">
        <color indexed="8"/>
      </top>
      <bottom/>
      <diagonal/>
    </border>
    <border>
      <left style="thin">
        <color indexed="64"/>
      </left>
      <right style="thin">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s>
  <cellStyleXfs count="112">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0" fillId="0" borderId="0"/>
    <xf numFmtId="0" fontId="14" fillId="0" borderId="0">
      <alignment horizontal="left" vertical="top" wrapText="1"/>
    </xf>
    <xf numFmtId="166" fontId="32" fillId="0" borderId="0" applyFont="0" applyFill="0" applyBorder="0" applyAlignment="0" applyProtection="0"/>
    <xf numFmtId="0" fontId="10" fillId="0" borderId="0"/>
    <xf numFmtId="0" fontId="41" fillId="0" borderId="0"/>
    <xf numFmtId="9" fontId="10" fillId="0" borderId="0" applyFont="0" applyFill="0" applyBorder="0" applyAlignment="0" applyProtection="0"/>
    <xf numFmtId="0" fontId="47" fillId="0" borderId="0"/>
    <xf numFmtId="0" fontId="52" fillId="0" borderId="0"/>
    <xf numFmtId="0" fontId="56" fillId="0" borderId="0"/>
    <xf numFmtId="169" fontId="20" fillId="0" borderId="0" applyFont="0" applyFill="0" applyBorder="0" applyAlignment="0" applyProtection="0"/>
    <xf numFmtId="0" fontId="1" fillId="0" borderId="0"/>
    <xf numFmtId="0" fontId="58" fillId="0" borderId="0" applyNumberFormat="0" applyFill="0" applyBorder="0" applyAlignment="0" applyProtection="0">
      <alignment vertical="top"/>
      <protection locked="0"/>
    </xf>
    <xf numFmtId="0" fontId="9" fillId="0" borderId="0" applyNumberFormat="0" applyFill="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169" fontId="20" fillId="0" borderId="0" applyFont="0" applyFill="0" applyBorder="0" applyAlignment="0" applyProtection="0"/>
    <xf numFmtId="43" fontId="20" fillId="0" borderId="0" applyFont="0" applyFill="0" applyBorder="0" applyAlignment="0" applyProtection="0"/>
    <xf numFmtId="43" fontId="56"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1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5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2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61" fillId="0" borderId="0"/>
    <xf numFmtId="0" fontId="20" fillId="0" borderId="0"/>
    <xf numFmtId="0" fontId="57" fillId="0" borderId="0"/>
    <xf numFmtId="0" fontId="10" fillId="0" borderId="0"/>
    <xf numFmtId="0" fontId="10" fillId="0" borderId="0"/>
    <xf numFmtId="0" fontId="56" fillId="0" borderId="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61" fillId="0" borderId="0"/>
    <xf numFmtId="9" fontId="10" fillId="0" borderId="0" applyFont="0" applyFill="0" applyBorder="0" applyAlignment="0" applyProtection="0"/>
    <xf numFmtId="9" fontId="10" fillId="0" borderId="0" applyFont="0" applyFill="0" applyBorder="0" applyAlignment="0" applyProtection="0"/>
    <xf numFmtId="0" fontId="47" fillId="0" borderId="0"/>
    <xf numFmtId="0" fontId="52" fillId="0" borderId="0"/>
    <xf numFmtId="0" fontId="47" fillId="0" borderId="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9" borderId="0" applyNumberFormat="0" applyBorder="0" applyAlignment="0" applyProtection="0"/>
    <xf numFmtId="0" fontId="62" fillId="17" borderId="54" applyNumberFormat="0" applyAlignment="0" applyProtection="0"/>
    <xf numFmtId="0" fontId="63" fillId="30" borderId="55" applyNumberFormat="0" applyAlignment="0" applyProtection="0"/>
    <xf numFmtId="0" fontId="64" fillId="30" borderId="54" applyNumberFormat="0" applyAlignment="0" applyProtection="0"/>
    <xf numFmtId="0" fontId="65" fillId="0" borderId="56" applyNumberFormat="0" applyFill="0" applyAlignment="0" applyProtection="0"/>
    <xf numFmtId="0" fontId="66" fillId="0" borderId="57" applyNumberFormat="0" applyFill="0" applyAlignment="0" applyProtection="0"/>
    <xf numFmtId="0" fontId="67" fillId="0" borderId="58" applyNumberFormat="0" applyFill="0" applyAlignment="0" applyProtection="0"/>
    <xf numFmtId="0" fontId="67" fillId="0" borderId="0" applyNumberFormat="0" applyFill="0" applyBorder="0" applyAlignment="0" applyProtection="0"/>
    <xf numFmtId="0" fontId="68" fillId="0" borderId="59" applyNumberFormat="0" applyFill="0" applyAlignment="0" applyProtection="0"/>
    <xf numFmtId="0" fontId="69" fillId="31" borderId="60" applyNumberFormat="0" applyAlignment="0" applyProtection="0"/>
    <xf numFmtId="0" fontId="70" fillId="0" borderId="0" applyNumberFormat="0" applyFill="0" applyBorder="0" applyAlignment="0" applyProtection="0"/>
    <xf numFmtId="0" fontId="71" fillId="32" borderId="0" applyNumberFormat="0" applyBorder="0" applyAlignment="0" applyProtection="0"/>
    <xf numFmtId="0" fontId="56" fillId="0" borderId="0"/>
    <xf numFmtId="0" fontId="56" fillId="0" borderId="0"/>
    <xf numFmtId="0" fontId="72" fillId="13" borderId="0" applyNumberFormat="0" applyBorder="0" applyAlignment="0" applyProtection="0"/>
    <xf numFmtId="0" fontId="73" fillId="0" borderId="0" applyNumberFormat="0" applyFill="0" applyBorder="0" applyAlignment="0" applyProtection="0"/>
    <xf numFmtId="0" fontId="10" fillId="33" borderId="61" applyNumberFormat="0" applyFont="0" applyAlignment="0" applyProtection="0"/>
    <xf numFmtId="0" fontId="74" fillId="0" borderId="62" applyNumberFormat="0" applyFill="0" applyAlignment="0" applyProtection="0"/>
    <xf numFmtId="0" fontId="47" fillId="0" borderId="0"/>
    <xf numFmtId="0" fontId="47" fillId="0" borderId="0"/>
    <xf numFmtId="0" fontId="75" fillId="0" borderId="0" applyNumberFormat="0" applyFill="0" applyBorder="0" applyAlignment="0" applyProtection="0"/>
    <xf numFmtId="43" fontId="56" fillId="0" borderId="0" applyFont="0" applyFill="0" applyBorder="0" applyAlignment="0" applyProtection="0"/>
    <xf numFmtId="43" fontId="6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56" fillId="0" borderId="0" applyFont="0" applyFill="0" applyBorder="0" applyAlignment="0" applyProtection="0"/>
    <xf numFmtId="0" fontId="76" fillId="14" borderId="0" applyNumberFormat="0" applyBorder="0" applyAlignment="0" applyProtection="0"/>
    <xf numFmtId="171" fontId="14" fillId="0" borderId="0" applyFill="0" applyBorder="0" applyProtection="0">
      <alignment horizontal="right" vertical="top"/>
    </xf>
    <xf numFmtId="171" fontId="78" fillId="0" borderId="0" applyFill="0" applyBorder="0" applyProtection="0">
      <alignment horizontal="right" vertical="top"/>
    </xf>
    <xf numFmtId="0" fontId="10" fillId="0" borderId="0"/>
    <xf numFmtId="0" fontId="20" fillId="0" borderId="0"/>
    <xf numFmtId="0" fontId="56" fillId="0" borderId="0"/>
    <xf numFmtId="0" fontId="56" fillId="0" borderId="0"/>
    <xf numFmtId="0" fontId="10" fillId="0" borderId="0"/>
    <xf numFmtId="0" fontId="107" fillId="0" borderId="0"/>
    <xf numFmtId="0" fontId="10" fillId="0" borderId="0"/>
    <xf numFmtId="0" fontId="111" fillId="0" borderId="0"/>
    <xf numFmtId="0" fontId="107" fillId="0" borderId="0"/>
    <xf numFmtId="0" fontId="143" fillId="0" borderId="0"/>
  </cellStyleXfs>
  <cellXfs count="2174">
    <xf numFmtId="0" fontId="0" fillId="0" borderId="0" xfId="0"/>
    <xf numFmtId="0" fontId="3" fillId="0" borderId="0" xfId="0" applyFont="1" applyAlignment="1">
      <alignment vertical="center"/>
    </xf>
    <xf numFmtId="0" fontId="7" fillId="0" borderId="0" xfId="0" applyFont="1" applyAlignment="1">
      <alignment vertical="center"/>
    </xf>
    <xf numFmtId="0" fontId="2" fillId="0" borderId="0" xfId="0" applyFont="1"/>
    <xf numFmtId="0" fontId="16" fillId="0" borderId="0" xfId="0" applyFont="1" applyAlignment="1">
      <alignment vertical="center"/>
    </xf>
    <xf numFmtId="0" fontId="5" fillId="0" borderId="0" xfId="0" applyFont="1"/>
    <xf numFmtId="0" fontId="23" fillId="0" borderId="0" xfId="0" applyFont="1" applyAlignment="1">
      <alignment vertical="center"/>
    </xf>
    <xf numFmtId="0" fontId="27" fillId="0" borderId="0" xfId="0" applyFont="1"/>
    <xf numFmtId="0" fontId="30" fillId="0" borderId="0" xfId="0" applyFont="1" applyAlignment="1">
      <alignment vertical="center"/>
    </xf>
    <xf numFmtId="0" fontId="31" fillId="0" borderId="0" xfId="0" applyFont="1"/>
    <xf numFmtId="0" fontId="0" fillId="0" borderId="0" xfId="0" applyAlignment="1">
      <alignment vertical="center"/>
    </xf>
    <xf numFmtId="0" fontId="16" fillId="0" borderId="0" xfId="0" applyNumberFormat="1" applyFont="1" applyAlignment="1">
      <alignment vertical="center"/>
    </xf>
    <xf numFmtId="0" fontId="5" fillId="0" borderId="0" xfId="0" applyNumberFormat="1" applyFont="1"/>
    <xf numFmtId="0" fontId="3" fillId="0" borderId="0" xfId="0" applyNumberFormat="1" applyFont="1" applyAlignment="1">
      <alignment vertical="center"/>
    </xf>
    <xf numFmtId="0" fontId="0" fillId="0" borderId="0" xfId="0" applyNumberFormat="1"/>
    <xf numFmtId="0" fontId="2" fillId="0" borderId="0" xfId="0" applyFont="1" applyAlignment="1">
      <alignment vertical="center"/>
    </xf>
    <xf numFmtId="0" fontId="34" fillId="0" borderId="0" xfId="0" applyFont="1" applyFill="1" applyAlignment="1">
      <alignment vertical="center"/>
    </xf>
    <xf numFmtId="0" fontId="6" fillId="0" borderId="0" xfId="0" applyFont="1" applyFill="1"/>
    <xf numFmtId="0" fontId="4" fillId="0" borderId="0" xfId="0" applyFont="1" applyAlignment="1">
      <alignment vertical="center"/>
    </xf>
    <xf numFmtId="0" fontId="28" fillId="0" borderId="7" xfId="0" applyFont="1" applyBorder="1" applyAlignment="1">
      <alignment vertical="center" wrapText="1"/>
    </xf>
    <xf numFmtId="0" fontId="37" fillId="4" borderId="1" xfId="0" applyFont="1" applyFill="1" applyBorder="1" applyAlignment="1">
      <alignment vertical="top" wrapText="1"/>
    </xf>
    <xf numFmtId="0" fontId="37" fillId="4" borderId="4" xfId="0" applyFont="1" applyFill="1" applyBorder="1" applyAlignment="1">
      <alignment vertical="top" wrapText="1"/>
    </xf>
    <xf numFmtId="165" fontId="28" fillId="4" borderId="9" xfId="0" applyNumberFormat="1" applyFont="1" applyFill="1" applyBorder="1" applyAlignment="1">
      <alignment horizontal="center" vertical="center" wrapText="1"/>
    </xf>
    <xf numFmtId="0" fontId="0" fillId="4" borderId="0" xfId="0" applyFill="1"/>
    <xf numFmtId="0" fontId="37" fillId="4" borderId="7" xfId="0" applyFont="1" applyFill="1" applyBorder="1" applyAlignment="1">
      <alignment vertical="top" wrapText="1"/>
    </xf>
    <xf numFmtId="0" fontId="7" fillId="0" borderId="37" xfId="0" applyFont="1" applyFill="1" applyBorder="1" applyAlignment="1">
      <alignment vertical="top" wrapText="1"/>
    </xf>
    <xf numFmtId="0" fontId="37" fillId="4" borderId="28" xfId="0" applyFont="1" applyFill="1" applyBorder="1" applyAlignment="1">
      <alignment vertical="top" wrapText="1"/>
    </xf>
    <xf numFmtId="165" fontId="27" fillId="0" borderId="0" xfId="0" applyNumberFormat="1" applyFont="1"/>
    <xf numFmtId="0" fontId="28" fillId="0" borderId="9" xfId="0" applyFont="1" applyFill="1" applyBorder="1" applyAlignment="1">
      <alignment horizontal="left" vertical="center" wrapText="1"/>
    </xf>
    <xf numFmtId="0" fontId="7" fillId="0" borderId="0" xfId="0" applyFont="1"/>
    <xf numFmtId="0" fontId="37" fillId="0" borderId="0" xfId="0" applyFont="1"/>
    <xf numFmtId="0" fontId="37" fillId="0" borderId="0" xfId="0" applyFont="1" applyAlignment="1">
      <alignment horizontal="center"/>
    </xf>
    <xf numFmtId="0" fontId="37" fillId="0" borderId="0" xfId="0" applyFont="1" applyAlignment="1">
      <alignment horizontal="left"/>
    </xf>
    <xf numFmtId="0" fontId="37" fillId="0" borderId="0" xfId="0" applyNumberFormat="1" applyFont="1"/>
    <xf numFmtId="0" fontId="37" fillId="0" borderId="0" xfId="0" applyNumberFormat="1" applyFont="1" applyAlignment="1">
      <alignment horizontal="center" vertical="center"/>
    </xf>
    <xf numFmtId="49" fontId="37" fillId="0" borderId="9" xfId="0" applyNumberFormat="1" applyFont="1" applyFill="1" applyBorder="1" applyAlignment="1">
      <alignment horizontal="center" vertical="center" wrapText="1"/>
    </xf>
    <xf numFmtId="49" fontId="37" fillId="0" borderId="9" xfId="0" applyNumberFormat="1" applyFont="1" applyBorder="1" applyAlignment="1">
      <alignment horizontal="center" vertical="center" wrapText="1"/>
    </xf>
    <xf numFmtId="165" fontId="37" fillId="0" borderId="0" xfId="0" applyNumberFormat="1" applyFont="1"/>
    <xf numFmtId="165" fontId="7" fillId="0" borderId="9" xfId="0" applyNumberFormat="1" applyFont="1" applyFill="1" applyBorder="1" applyAlignment="1">
      <alignment horizontal="center" vertical="center" wrapText="1"/>
    </xf>
    <xf numFmtId="165" fontId="35" fillId="0" borderId="9" xfId="0" applyNumberFormat="1" applyFont="1" applyFill="1" applyBorder="1" applyAlignment="1">
      <alignment horizontal="center" vertical="center" wrapText="1"/>
    </xf>
    <xf numFmtId="0" fontId="28" fillId="3" borderId="9" xfId="3" applyFont="1" applyFill="1" applyBorder="1" applyAlignment="1">
      <alignment horizontal="center" vertical="center" wrapText="1"/>
    </xf>
    <xf numFmtId="0" fontId="7" fillId="0" borderId="0" xfId="0" applyFont="1" applyAlignment="1">
      <alignment horizontal="center" vertical="center"/>
    </xf>
    <xf numFmtId="0" fontId="37" fillId="0" borderId="0" xfId="0" applyFont="1" applyAlignment="1">
      <alignment horizontal="center" vertical="center"/>
    </xf>
    <xf numFmtId="165" fontId="37" fillId="0" borderId="9" xfId="0" applyNumberFormat="1" applyFont="1" applyBorder="1" applyAlignment="1">
      <alignment horizontal="center" vertical="center"/>
    </xf>
    <xf numFmtId="0" fontId="3" fillId="0" borderId="0" xfId="0" applyFont="1"/>
    <xf numFmtId="0" fontId="45" fillId="0" borderId="0" xfId="2" applyFont="1" applyAlignment="1">
      <alignment vertical="center"/>
    </xf>
    <xf numFmtId="0" fontId="44" fillId="0" borderId="0" xfId="0" applyFont="1" applyFill="1" applyAlignment="1">
      <alignment vertical="center"/>
    </xf>
    <xf numFmtId="0" fontId="45" fillId="0" borderId="0" xfId="2" applyFont="1" applyFill="1" applyAlignment="1">
      <alignment vertical="center"/>
    </xf>
    <xf numFmtId="165" fontId="37" fillId="0" borderId="9" xfId="0" applyNumberFormat="1" applyFont="1" applyFill="1" applyBorder="1" applyAlignment="1">
      <alignment horizontal="center" vertical="center"/>
    </xf>
    <xf numFmtId="165" fontId="37" fillId="0" borderId="9" xfId="0" applyNumberFormat="1" applyFont="1" applyFill="1" applyBorder="1" applyAlignment="1">
      <alignment horizontal="center" vertical="center" wrapText="1"/>
    </xf>
    <xf numFmtId="165" fontId="28" fillId="0" borderId="9" xfId="1" applyNumberFormat="1" applyFont="1" applyFill="1" applyBorder="1" applyAlignment="1">
      <alignment horizontal="center" vertical="center" wrapText="1"/>
    </xf>
    <xf numFmtId="0" fontId="44" fillId="0" borderId="0" xfId="0" applyFont="1"/>
    <xf numFmtId="0" fontId="44" fillId="0" borderId="0" xfId="0" applyFont="1" applyFill="1"/>
    <xf numFmtId="165" fontId="37" fillId="0" borderId="9" xfId="0" applyNumberFormat="1" applyFont="1" applyFill="1" applyBorder="1" applyAlignment="1">
      <alignment vertical="center"/>
    </xf>
    <xf numFmtId="165" fontId="7" fillId="0" borderId="9" xfId="0" applyNumberFormat="1" applyFont="1" applyFill="1" applyBorder="1" applyAlignment="1">
      <alignment horizontal="center" vertical="top" wrapText="1"/>
    </xf>
    <xf numFmtId="0" fontId="44" fillId="0" borderId="0" xfId="0" applyFont="1" applyAlignment="1">
      <alignment vertical="top"/>
    </xf>
    <xf numFmtId="0" fontId="44" fillId="0" borderId="0" xfId="0" applyFont="1" applyFill="1" applyAlignment="1">
      <alignment horizontal="center" vertical="center"/>
    </xf>
    <xf numFmtId="0" fontId="45" fillId="0" borderId="0" xfId="2" applyFont="1" applyFill="1" applyAlignment="1">
      <alignment horizontal="center" vertical="center"/>
    </xf>
    <xf numFmtId="0" fontId="46" fillId="0" borderId="0" xfId="0" applyFont="1"/>
    <xf numFmtId="0" fontId="0" fillId="0" borderId="0" xfId="0" applyFill="1"/>
    <xf numFmtId="165" fontId="16" fillId="0" borderId="0" xfId="0" applyNumberFormat="1" applyFont="1" applyAlignment="1">
      <alignment vertical="center"/>
    </xf>
    <xf numFmtId="0" fontId="37" fillId="0" borderId="9" xfId="0" applyFont="1" applyBorder="1" applyAlignment="1">
      <alignment horizontal="center" vertical="center" wrapText="1"/>
    </xf>
    <xf numFmtId="0" fontId="37" fillId="2" borderId="9" xfId="0" applyFont="1" applyFill="1" applyBorder="1" applyAlignment="1">
      <alignment horizontal="center" vertical="center" wrapText="1"/>
    </xf>
    <xf numFmtId="0" fontId="38" fillId="0" borderId="0" xfId="0" applyFont="1" applyAlignment="1">
      <alignment horizontal="center"/>
    </xf>
    <xf numFmtId="0" fontId="0" fillId="0" borderId="0" xfId="0" applyAlignment="1">
      <alignment horizontal="center" vertical="center"/>
    </xf>
    <xf numFmtId="0" fontId="44" fillId="6" borderId="9" xfId="0" applyFont="1" applyFill="1" applyBorder="1" applyAlignment="1">
      <alignment horizontal="center" vertical="top" wrapText="1"/>
    </xf>
    <xf numFmtId="0" fontId="7" fillId="2" borderId="9" xfId="0" applyFont="1" applyFill="1" applyBorder="1" applyAlignment="1">
      <alignment horizontal="center" vertical="center" wrapText="1"/>
    </xf>
    <xf numFmtId="0" fontId="35" fillId="0" borderId="0" xfId="0" applyFont="1"/>
    <xf numFmtId="165" fontId="7" fillId="0" borderId="19" xfId="0" applyNumberFormat="1" applyFont="1" applyFill="1" applyBorder="1" applyAlignment="1">
      <alignment horizontal="center" vertical="center" wrapText="1"/>
    </xf>
    <xf numFmtId="165" fontId="37" fillId="0" borderId="19" xfId="0" applyNumberFormat="1" applyFont="1" applyFill="1" applyBorder="1" applyAlignment="1">
      <alignment vertical="center"/>
    </xf>
    <xf numFmtId="165" fontId="7" fillId="0" borderId="19" xfId="0" applyNumberFormat="1" applyFont="1" applyFill="1" applyBorder="1" applyAlignment="1">
      <alignment horizontal="center" vertical="top" wrapText="1"/>
    </xf>
    <xf numFmtId="165" fontId="37" fillId="0" borderId="19" xfId="0" applyNumberFormat="1" applyFont="1" applyFill="1" applyBorder="1" applyAlignment="1">
      <alignment horizontal="center" vertical="center"/>
    </xf>
    <xf numFmtId="164" fontId="0" fillId="0" borderId="0" xfId="0" applyNumberFormat="1"/>
    <xf numFmtId="0" fontId="49" fillId="0" borderId="0" xfId="0" applyFont="1" applyAlignment="1">
      <alignment vertical="center" wrapText="1"/>
    </xf>
    <xf numFmtId="0" fontId="50" fillId="0" borderId="0" xfId="0" applyFont="1" applyAlignment="1">
      <alignment vertical="center" wrapText="1"/>
    </xf>
    <xf numFmtId="0" fontId="28" fillId="5" borderId="0" xfId="0" applyFont="1" applyFill="1"/>
    <xf numFmtId="0" fontId="13" fillId="0" borderId="0" xfId="0" applyFont="1"/>
    <xf numFmtId="0" fontId="28" fillId="0" borderId="0" xfId="0" applyFont="1" applyAlignment="1">
      <alignment horizontal="left"/>
    </xf>
    <xf numFmtId="0" fontId="28" fillId="0" borderId="0" xfId="0" applyFont="1" applyAlignment="1">
      <alignment horizontal="center"/>
    </xf>
    <xf numFmtId="0" fontId="22" fillId="5" borderId="0" xfId="0" applyFont="1" applyFill="1" applyBorder="1" applyAlignment="1">
      <alignment horizontal="center" wrapText="1"/>
    </xf>
    <xf numFmtId="0" fontId="28" fillId="0" borderId="0" xfId="0" applyFont="1"/>
    <xf numFmtId="0" fontId="22" fillId="5" borderId="0" xfId="0" applyFont="1" applyFill="1" applyBorder="1" applyAlignment="1">
      <alignment horizontal="centerContinuous" wrapText="1"/>
    </xf>
    <xf numFmtId="0" fontId="28" fillId="5" borderId="0" xfId="0" applyFont="1" applyFill="1" applyAlignment="1">
      <alignment horizontal="center"/>
    </xf>
    <xf numFmtId="0" fontId="13" fillId="5" borderId="0" xfId="0" applyFont="1" applyFill="1" applyBorder="1" applyAlignment="1">
      <alignment horizontal="left" vertical="center" wrapText="1"/>
    </xf>
    <xf numFmtId="0" fontId="28" fillId="5" borderId="0" xfId="0" applyFont="1" applyFill="1" applyBorder="1" applyAlignment="1">
      <alignment horizontal="left" vertical="center" wrapText="1"/>
    </xf>
    <xf numFmtId="0" fontId="28" fillId="5" borderId="0" xfId="0" applyFont="1" applyFill="1" applyAlignment="1">
      <alignment horizontal="left" vertical="center"/>
    </xf>
    <xf numFmtId="0" fontId="22" fillId="5" borderId="9" xfId="0" applyFont="1" applyFill="1" applyBorder="1"/>
    <xf numFmtId="0" fontId="13" fillId="5" borderId="0" xfId="0" applyFont="1" applyFill="1"/>
    <xf numFmtId="0" fontId="43" fillId="5" borderId="0" xfId="0" applyFont="1" applyFill="1" applyBorder="1" applyAlignment="1">
      <alignment horizontal="left" wrapText="1"/>
    </xf>
    <xf numFmtId="0" fontId="13" fillId="5" borderId="0" xfId="0" applyFont="1" applyFill="1" applyBorder="1" applyAlignment="1">
      <alignment wrapText="1"/>
    </xf>
    <xf numFmtId="0" fontId="28" fillId="5" borderId="0" xfId="0" applyFont="1" applyFill="1" applyBorder="1" applyAlignment="1">
      <alignment horizontal="left"/>
    </xf>
    <xf numFmtId="0" fontId="28" fillId="5" borderId="42" xfId="0" applyFont="1" applyFill="1" applyBorder="1" applyAlignment="1"/>
    <xf numFmtId="0" fontId="28" fillId="5" borderId="42" xfId="0" applyFont="1" applyFill="1" applyBorder="1" applyAlignment="1">
      <alignment wrapText="1"/>
    </xf>
    <xf numFmtId="0" fontId="13" fillId="0" borderId="9" xfId="0" applyFont="1" applyBorder="1" applyAlignment="1">
      <alignment horizontal="center" wrapText="1"/>
    </xf>
    <xf numFmtId="0" fontId="37" fillId="0" borderId="13" xfId="0" applyFont="1" applyFill="1" applyBorder="1" applyAlignment="1">
      <alignment horizontal="center" vertical="center" wrapText="1"/>
    </xf>
    <xf numFmtId="0" fontId="53" fillId="0" borderId="9" xfId="10" applyFont="1" applyBorder="1" applyAlignment="1">
      <alignment horizontal="center" wrapText="1"/>
    </xf>
    <xf numFmtId="0" fontId="13" fillId="0" borderId="13" xfId="0" applyFont="1" applyBorder="1" applyAlignment="1">
      <alignment horizontal="center" wrapText="1"/>
    </xf>
    <xf numFmtId="0" fontId="8" fillId="0" borderId="11" xfId="0" applyFont="1" applyFill="1" applyBorder="1" applyAlignment="1">
      <alignment horizontal="center" vertical="top" wrapText="1"/>
    </xf>
    <xf numFmtId="0" fontId="8" fillId="0" borderId="9" xfId="0" applyFont="1" applyFill="1" applyBorder="1" applyAlignment="1">
      <alignment horizontal="center" vertical="top" wrapText="1"/>
    </xf>
    <xf numFmtId="0" fontId="28" fillId="0" borderId="0" xfId="0" applyFont="1" applyFill="1" applyAlignment="1">
      <alignment horizontal="center" vertical="center"/>
    </xf>
    <xf numFmtId="0" fontId="13" fillId="0" borderId="10" xfId="0" applyFont="1" applyFill="1" applyBorder="1" applyAlignment="1">
      <alignment horizontal="center" vertical="center" wrapText="1"/>
    </xf>
    <xf numFmtId="165" fontId="28" fillId="0" borderId="9" xfId="0" applyNumberFormat="1" applyFont="1" applyFill="1" applyBorder="1" applyAlignment="1">
      <alignment horizontal="center" vertical="center" wrapText="1"/>
    </xf>
    <xf numFmtId="0" fontId="28" fillId="0" borderId="0" xfId="0" applyFont="1" applyAlignment="1">
      <alignment horizontal="center" vertical="center"/>
    </xf>
    <xf numFmtId="0" fontId="13" fillId="0" borderId="10" xfId="0" applyFont="1" applyBorder="1" applyAlignment="1">
      <alignment horizontal="center" vertical="center" wrapText="1"/>
    </xf>
    <xf numFmtId="0" fontId="28" fillId="0" borderId="9" xfId="0" applyFont="1" applyBorder="1" applyAlignment="1">
      <alignment horizontal="left" vertical="center" wrapText="1"/>
    </xf>
    <xf numFmtId="165" fontId="28" fillId="0" borderId="9" xfId="0" applyNumberFormat="1" applyFont="1" applyBorder="1" applyAlignment="1">
      <alignment horizontal="center" vertical="center" wrapText="1"/>
    </xf>
    <xf numFmtId="0" fontId="22" fillId="0" borderId="9" xfId="0" applyFont="1" applyBorder="1" applyAlignment="1">
      <alignment horizontal="left" vertical="center" wrapText="1"/>
    </xf>
    <xf numFmtId="0" fontId="21" fillId="11" borderId="10" xfId="10" applyFont="1" applyFill="1" applyBorder="1" applyAlignment="1">
      <alignment horizontal="center" vertical="center" wrapText="1"/>
    </xf>
    <xf numFmtId="0" fontId="22" fillId="11" borderId="9" xfId="0" applyFont="1" applyFill="1" applyBorder="1" applyAlignment="1">
      <alignment wrapText="1"/>
    </xf>
    <xf numFmtId="165" fontId="22" fillId="11" borderId="9" xfId="0" applyNumberFormat="1" applyFont="1" applyFill="1" applyBorder="1" applyAlignment="1">
      <alignment horizontal="center" vertical="center" wrapText="1"/>
    </xf>
    <xf numFmtId="0" fontId="13" fillId="0" borderId="10" xfId="10" applyFont="1" applyFill="1" applyBorder="1" applyAlignment="1">
      <alignment horizontal="center" vertical="center" wrapText="1"/>
    </xf>
    <xf numFmtId="0" fontId="28" fillId="0" borderId="9" xfId="0" applyFont="1" applyFill="1" applyBorder="1" applyAlignment="1">
      <alignment wrapText="1"/>
    </xf>
    <xf numFmtId="0" fontId="21" fillId="11" borderId="10"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22" fillId="9" borderId="9" xfId="0" applyFont="1" applyFill="1" applyBorder="1" applyAlignment="1">
      <alignment horizontal="left" vertical="center" wrapText="1"/>
    </xf>
    <xf numFmtId="165" fontId="28" fillId="9" borderId="9" xfId="0" applyNumberFormat="1" applyFont="1" applyFill="1" applyBorder="1" applyAlignment="1">
      <alignment horizontal="center" vertical="center" wrapText="1"/>
    </xf>
    <xf numFmtId="0" fontId="28" fillId="0" borderId="12" xfId="0" applyFont="1" applyFill="1" applyBorder="1"/>
    <xf numFmtId="0" fontId="28" fillId="0" borderId="51" xfId="0" applyFont="1" applyFill="1" applyBorder="1"/>
    <xf numFmtId="49" fontId="55" fillId="0" borderId="32" xfId="0" applyNumberFormat="1" applyFont="1" applyFill="1" applyBorder="1" applyAlignment="1">
      <alignment horizontal="center" vertical="center" wrapText="1"/>
    </xf>
    <xf numFmtId="49" fontId="22" fillId="0" borderId="13" xfId="0" applyNumberFormat="1" applyFont="1" applyFill="1" applyBorder="1" applyAlignment="1">
      <alignment horizontal="left" vertical="center" wrapText="1"/>
    </xf>
    <xf numFmtId="0" fontId="28" fillId="5" borderId="0" xfId="0" applyFont="1" applyFill="1" applyAlignment="1">
      <alignment horizontal="center" vertical="center"/>
    </xf>
    <xf numFmtId="49" fontId="22" fillId="0" borderId="9" xfId="0" applyNumberFormat="1" applyFont="1" applyFill="1" applyBorder="1" applyAlignment="1">
      <alignment horizontal="left" vertical="center" wrapText="1"/>
    </xf>
    <xf numFmtId="49" fontId="55" fillId="9" borderId="32" xfId="0" applyNumberFormat="1" applyFont="1" applyFill="1" applyBorder="1" applyAlignment="1">
      <alignment horizontal="center" vertical="center" wrapText="1"/>
    </xf>
    <xf numFmtId="165" fontId="28" fillId="5" borderId="9" xfId="0" applyNumberFormat="1" applyFont="1" applyFill="1" applyBorder="1" applyAlignment="1">
      <alignment horizontal="center" vertical="center" wrapText="1"/>
    </xf>
    <xf numFmtId="0" fontId="28" fillId="5" borderId="9" xfId="0" applyFont="1" applyFill="1" applyBorder="1" applyAlignment="1">
      <alignment horizontal="left" vertical="center" wrapText="1"/>
    </xf>
    <xf numFmtId="0" fontId="22" fillId="5" borderId="9" xfId="0" applyFont="1" applyFill="1" applyBorder="1" applyAlignment="1">
      <alignment horizontal="left" vertical="center" wrapText="1"/>
    </xf>
    <xf numFmtId="165" fontId="39" fillId="0" borderId="9" xfId="11" applyNumberFormat="1" applyFont="1" applyFill="1" applyBorder="1" applyAlignment="1">
      <alignment horizontal="center" wrapText="1"/>
    </xf>
    <xf numFmtId="0" fontId="22" fillId="5" borderId="0" xfId="0" applyFont="1" applyFill="1" applyAlignment="1">
      <alignment horizontal="center" vertical="center"/>
    </xf>
    <xf numFmtId="165" fontId="51" fillId="0" borderId="9" xfId="11" applyNumberFormat="1" applyFont="1" applyFill="1" applyBorder="1" applyAlignment="1">
      <alignment horizontal="center" wrapText="1"/>
    </xf>
    <xf numFmtId="165" fontId="22" fillId="5" borderId="9" xfId="0" applyNumberFormat="1" applyFont="1" applyFill="1" applyBorder="1" applyAlignment="1">
      <alignment horizontal="center" vertical="center" wrapText="1"/>
    </xf>
    <xf numFmtId="0" fontId="28" fillId="0" borderId="0" xfId="0" applyFont="1" applyFill="1" applyBorder="1"/>
    <xf numFmtId="0" fontId="28" fillId="0" borderId="13" xfId="0" applyFont="1" applyFill="1" applyBorder="1"/>
    <xf numFmtId="0" fontId="28" fillId="0" borderId="32" xfId="0" applyFont="1" applyFill="1" applyBorder="1"/>
    <xf numFmtId="0" fontId="28" fillId="0" borderId="0" xfId="0" applyFont="1" applyFill="1"/>
    <xf numFmtId="0" fontId="28" fillId="5" borderId="43" xfId="0" applyFont="1" applyFill="1" applyBorder="1" applyAlignment="1">
      <alignment wrapText="1"/>
    </xf>
    <xf numFmtId="165" fontId="28" fillId="5" borderId="43" xfId="0" applyNumberFormat="1" applyFont="1" applyFill="1" applyBorder="1" applyAlignment="1">
      <alignment wrapText="1"/>
    </xf>
    <xf numFmtId="0" fontId="21" fillId="11" borderId="9" xfId="0" applyFont="1" applyFill="1" applyBorder="1" applyAlignment="1">
      <alignment horizontal="center" wrapText="1"/>
    </xf>
    <xf numFmtId="0" fontId="48" fillId="11" borderId="9" xfId="0" applyFont="1" applyFill="1" applyBorder="1" applyAlignment="1">
      <alignment wrapText="1"/>
    </xf>
    <xf numFmtId="165" fontId="22" fillId="11" borderId="9" xfId="0" applyNumberFormat="1" applyFont="1" applyFill="1" applyBorder="1" applyAlignment="1">
      <alignment horizontal="center" wrapText="1"/>
    </xf>
    <xf numFmtId="0" fontId="22" fillId="11" borderId="0" xfId="0" applyFont="1" applyFill="1"/>
    <xf numFmtId="0" fontId="21" fillId="0" borderId="9" xfId="0" applyFont="1" applyFill="1" applyBorder="1" applyAlignment="1">
      <alignment horizontal="center" wrapText="1"/>
    </xf>
    <xf numFmtId="165" fontId="28" fillId="0" borderId="9" xfId="0" applyNumberFormat="1" applyFont="1" applyFill="1" applyBorder="1" applyAlignment="1">
      <alignment horizontal="center" wrapText="1"/>
    </xf>
    <xf numFmtId="0" fontId="22" fillId="0" borderId="9" xfId="0" applyFont="1" applyBorder="1" applyAlignment="1">
      <alignment wrapText="1"/>
    </xf>
    <xf numFmtId="165" fontId="28" fillId="5" borderId="9" xfId="0" applyNumberFormat="1" applyFont="1" applyFill="1" applyBorder="1" applyAlignment="1">
      <alignment horizontal="center" wrapText="1"/>
    </xf>
    <xf numFmtId="165" fontId="22" fillId="5" borderId="9" xfId="0" applyNumberFormat="1" applyFont="1" applyFill="1" applyBorder="1" applyAlignment="1">
      <alignment horizontal="center" wrapText="1"/>
    </xf>
    <xf numFmtId="0" fontId="22" fillId="5" borderId="0" xfId="0" applyFont="1" applyFill="1"/>
    <xf numFmtId="0" fontId="22" fillId="11" borderId="0" xfId="0" applyFont="1" applyFill="1" applyAlignment="1">
      <alignment horizontal="center" vertical="center"/>
    </xf>
    <xf numFmtId="0" fontId="28" fillId="0" borderId="11" xfId="0" applyFont="1" applyFill="1" applyBorder="1"/>
    <xf numFmtId="0" fontId="21" fillId="5" borderId="9" xfId="0" applyFont="1" applyFill="1" applyBorder="1" applyAlignment="1">
      <alignment horizontal="center" wrapText="1"/>
    </xf>
    <xf numFmtId="0" fontId="22" fillId="0" borderId="9" xfId="0" applyFont="1" applyFill="1" applyBorder="1" applyAlignment="1">
      <alignment horizontal="left" vertical="center" wrapText="1"/>
    </xf>
    <xf numFmtId="0" fontId="13" fillId="0" borderId="4" xfId="0" applyFont="1" applyBorder="1" applyAlignment="1">
      <alignment vertical="center" wrapText="1"/>
    </xf>
    <xf numFmtId="0" fontId="13" fillId="0" borderId="19" xfId="0" applyFont="1" applyBorder="1" applyAlignment="1">
      <alignment vertical="center" wrapText="1"/>
    </xf>
    <xf numFmtId="0" fontId="13" fillId="0" borderId="7" xfId="0" applyFont="1" applyBorder="1" applyAlignment="1">
      <alignment vertical="center" wrapText="1"/>
    </xf>
    <xf numFmtId="0" fontId="13" fillId="0" borderId="21" xfId="0" applyFont="1" applyBorder="1" applyAlignment="1">
      <alignment vertical="center" wrapText="1"/>
    </xf>
    <xf numFmtId="0" fontId="13" fillId="0" borderId="20" xfId="0" applyFont="1" applyBorder="1" applyAlignment="1">
      <alignment vertical="center" wrapText="1"/>
    </xf>
    <xf numFmtId="165" fontId="37" fillId="0" borderId="0" xfId="0" applyNumberFormat="1" applyFont="1" applyAlignment="1">
      <alignment horizontal="center" vertical="center"/>
    </xf>
    <xf numFmtId="165" fontId="37" fillId="9" borderId="0" xfId="0" applyNumberFormat="1" applyFont="1" applyFill="1" applyAlignment="1">
      <alignment horizontal="center"/>
    </xf>
    <xf numFmtId="165" fontId="7" fillId="0" borderId="0" xfId="0" applyNumberFormat="1" applyFont="1" applyAlignment="1">
      <alignment vertical="center"/>
    </xf>
    <xf numFmtId="167" fontId="37" fillId="0" borderId="9" xfId="0" applyNumberFormat="1" applyFont="1" applyBorder="1" applyAlignment="1">
      <alignment horizontal="center" vertical="center" wrapText="1"/>
    </xf>
    <xf numFmtId="167" fontId="37" fillId="2" borderId="9" xfId="0" applyNumberFormat="1" applyFont="1" applyFill="1" applyBorder="1" applyAlignment="1">
      <alignment horizontal="center" vertical="center" wrapText="1"/>
    </xf>
    <xf numFmtId="0" fontId="37" fillId="0" borderId="52" xfId="0" applyFont="1" applyBorder="1" applyAlignment="1">
      <alignment horizontal="justify" vertical="center" wrapText="1"/>
    </xf>
    <xf numFmtId="0" fontId="37" fillId="0" borderId="63" xfId="0" applyFont="1" applyBorder="1" applyAlignment="1">
      <alignment horizontal="justify" vertical="center" wrapText="1"/>
    </xf>
    <xf numFmtId="0" fontId="42" fillId="6" borderId="52" xfId="0" applyFont="1" applyFill="1" applyBorder="1" applyAlignment="1">
      <alignment horizontal="center" vertical="center" wrapText="1"/>
    </xf>
    <xf numFmtId="1" fontId="22" fillId="35" borderId="9" xfId="1" applyNumberFormat="1" applyFont="1" applyFill="1" applyBorder="1" applyAlignment="1">
      <alignment horizontal="center" vertical="center"/>
    </xf>
    <xf numFmtId="167" fontId="22" fillId="35" borderId="9" xfId="1" applyNumberFormat="1" applyFont="1" applyFill="1" applyBorder="1" applyAlignment="1">
      <alignment horizontal="center" vertical="center"/>
    </xf>
    <xf numFmtId="0" fontId="44" fillId="35" borderId="0" xfId="0" applyFont="1" applyFill="1"/>
    <xf numFmtId="1" fontId="37" fillId="4" borderId="9" xfId="1" applyNumberFormat="1" applyFont="1" applyFill="1" applyBorder="1" applyAlignment="1">
      <alignment horizontal="center" vertical="top"/>
    </xf>
    <xf numFmtId="1" fontId="7" fillId="35" borderId="9" xfId="1" applyNumberFormat="1" applyFont="1" applyFill="1" applyBorder="1" applyAlignment="1">
      <alignment horizontal="center" vertical="top"/>
    </xf>
    <xf numFmtId="167" fontId="22" fillId="35" borderId="9" xfId="1" applyNumberFormat="1" applyFont="1" applyFill="1" applyBorder="1" applyAlignment="1">
      <alignment horizontal="center" vertical="top"/>
    </xf>
    <xf numFmtId="1" fontId="7" fillId="35" borderId="9" xfId="1" applyNumberFormat="1" applyFont="1" applyFill="1" applyBorder="1" applyAlignment="1">
      <alignment horizontal="center" vertical="center"/>
    </xf>
    <xf numFmtId="1" fontId="37" fillId="0" borderId="9" xfId="1" applyNumberFormat="1" applyFont="1" applyFill="1" applyBorder="1" applyAlignment="1">
      <alignment horizontal="center" vertical="top"/>
    </xf>
    <xf numFmtId="167" fontId="28" fillId="0" borderId="9" xfId="1" applyNumberFormat="1" applyFont="1" applyFill="1" applyBorder="1" applyAlignment="1">
      <alignment horizontal="center" vertical="top"/>
    </xf>
    <xf numFmtId="0" fontId="37" fillId="0" borderId="0" xfId="0" applyFont="1" applyAlignment="1">
      <alignment vertical="top" wrapText="1"/>
    </xf>
    <xf numFmtId="0" fontId="44" fillId="0" borderId="0" xfId="0" applyFont="1" applyAlignment="1">
      <alignment horizontal="center"/>
    </xf>
    <xf numFmtId="0" fontId="37" fillId="0" borderId="0" xfId="0" applyFont="1" applyAlignment="1">
      <alignment horizontal="left" vertical="top"/>
    </xf>
    <xf numFmtId="164" fontId="44" fillId="0" borderId="0" xfId="0" applyNumberFormat="1" applyFont="1" applyAlignment="1">
      <alignment horizontal="center"/>
    </xf>
    <xf numFmtId="164" fontId="44" fillId="0" borderId="0" xfId="0" applyNumberFormat="1" applyFont="1" applyBorder="1" applyAlignment="1">
      <alignment horizontal="center"/>
    </xf>
    <xf numFmtId="164" fontId="28" fillId="4" borderId="35" xfId="1" applyNumberFormat="1" applyFont="1" applyFill="1" applyBorder="1" applyAlignment="1">
      <alignment horizontal="left" vertical="top" wrapText="1"/>
    </xf>
    <xf numFmtId="164" fontId="28" fillId="0" borderId="35" xfId="1" applyNumberFormat="1" applyFont="1" applyFill="1" applyBorder="1" applyAlignment="1">
      <alignment horizontal="left" vertical="top" wrapText="1"/>
    </xf>
    <xf numFmtId="164" fontId="37" fillId="4" borderId="35" xfId="1" applyNumberFormat="1" applyFont="1" applyFill="1" applyBorder="1" applyAlignment="1">
      <alignment horizontal="left" vertical="top" wrapText="1"/>
    </xf>
    <xf numFmtId="164" fontId="37" fillId="4" borderId="35" xfId="1" applyNumberFormat="1" applyFont="1" applyFill="1" applyBorder="1" applyAlignment="1">
      <alignment horizontal="left" vertical="center" wrapText="1"/>
    </xf>
    <xf numFmtId="164" fontId="37" fillId="4" borderId="69" xfId="1" applyNumberFormat="1" applyFont="1" applyFill="1" applyBorder="1" applyAlignment="1">
      <alignment horizontal="left" vertical="top" wrapText="1"/>
    </xf>
    <xf numFmtId="0" fontId="37" fillId="0" borderId="70" xfId="0" applyFont="1" applyBorder="1" applyAlignment="1">
      <alignment vertical="top" wrapText="1"/>
    </xf>
    <xf numFmtId="164" fontId="37" fillId="0" borderId="35" xfId="1" applyNumberFormat="1" applyFont="1" applyFill="1" applyBorder="1" applyAlignment="1">
      <alignment horizontal="left" vertical="top" wrapText="1"/>
    </xf>
    <xf numFmtId="165" fontId="4" fillId="0" borderId="0" xfId="0" applyNumberFormat="1" applyFont="1" applyAlignment="1">
      <alignment vertical="center"/>
    </xf>
    <xf numFmtId="164" fontId="22" fillId="36" borderId="35" xfId="1" applyNumberFormat="1" applyFont="1" applyFill="1" applyBorder="1" applyAlignment="1">
      <alignment horizontal="left" vertical="center" wrapText="1"/>
    </xf>
    <xf numFmtId="164" fontId="22" fillId="36" borderId="35" xfId="1" applyNumberFormat="1" applyFont="1" applyFill="1" applyBorder="1" applyAlignment="1">
      <alignment horizontal="left" vertical="top" wrapText="1"/>
    </xf>
    <xf numFmtId="0" fontId="28" fillId="0" borderId="1" xfId="0" applyFont="1" applyFill="1" applyBorder="1" applyAlignment="1">
      <alignment horizontal="center" vertical="center" wrapText="1"/>
    </xf>
    <xf numFmtId="1" fontId="22" fillId="36" borderId="4" xfId="1" applyNumberFormat="1" applyFont="1" applyFill="1" applyBorder="1" applyAlignment="1">
      <alignment horizontal="center" vertical="center"/>
    </xf>
    <xf numFmtId="1" fontId="7" fillId="36" borderId="4" xfId="1" applyNumberFormat="1" applyFont="1" applyFill="1" applyBorder="1" applyAlignment="1">
      <alignment horizontal="center" vertical="top"/>
    </xf>
    <xf numFmtId="1" fontId="7" fillId="36" borderId="4" xfId="1" applyNumberFormat="1" applyFont="1" applyFill="1" applyBorder="1" applyAlignment="1">
      <alignment horizontal="center" vertical="center"/>
    </xf>
    <xf numFmtId="1" fontId="37" fillId="4" borderId="4" xfId="1" applyNumberFormat="1" applyFont="1" applyFill="1" applyBorder="1" applyAlignment="1">
      <alignment horizontal="center" vertical="top"/>
    </xf>
    <xf numFmtId="1" fontId="37" fillId="0" borderId="28" xfId="1" applyNumberFormat="1" applyFont="1" applyFill="1" applyBorder="1" applyAlignment="1">
      <alignment horizontal="center" vertical="top"/>
    </xf>
    <xf numFmtId="1" fontId="37" fillId="0" borderId="31" xfId="1" applyNumberFormat="1" applyFont="1" applyFill="1" applyBorder="1" applyAlignment="1">
      <alignment horizontal="center" vertical="top"/>
    </xf>
    <xf numFmtId="1" fontId="37" fillId="0" borderId="29" xfId="1" applyNumberFormat="1" applyFont="1" applyFill="1" applyBorder="1" applyAlignment="1">
      <alignment horizontal="center" vertical="top"/>
    </xf>
    <xf numFmtId="1" fontId="37" fillId="4" borderId="28" xfId="1" applyNumberFormat="1" applyFont="1" applyFill="1" applyBorder="1" applyAlignment="1">
      <alignment horizontal="center" vertical="top"/>
    </xf>
    <xf numFmtId="1" fontId="37" fillId="4" borderId="31" xfId="1" applyNumberFormat="1" applyFont="1" applyFill="1" applyBorder="1" applyAlignment="1">
      <alignment horizontal="center" vertical="top"/>
    </xf>
    <xf numFmtId="1" fontId="37" fillId="4" borderId="29" xfId="1" applyNumberFormat="1" applyFont="1" applyFill="1" applyBorder="1" applyAlignment="1">
      <alignment horizontal="center" vertical="top"/>
    </xf>
    <xf numFmtId="1" fontId="37" fillId="4" borderId="72" xfId="1" applyNumberFormat="1" applyFont="1" applyFill="1" applyBorder="1" applyAlignment="1">
      <alignment horizontal="center" vertical="top"/>
    </xf>
    <xf numFmtId="0" fontId="15" fillId="0" borderId="34" xfId="0" applyFont="1" applyFill="1" applyBorder="1" applyAlignment="1">
      <alignment horizontal="center" vertical="center" wrapText="1"/>
    </xf>
    <xf numFmtId="1" fontId="37" fillId="4" borderId="28" xfId="1" applyNumberFormat="1" applyFont="1" applyFill="1" applyBorder="1" applyAlignment="1">
      <alignment horizontal="center" vertical="top"/>
    </xf>
    <xf numFmtId="1" fontId="37" fillId="4" borderId="29" xfId="1" applyNumberFormat="1" applyFont="1" applyFill="1" applyBorder="1" applyAlignment="1">
      <alignment horizontal="center" vertical="top"/>
    </xf>
    <xf numFmtId="1" fontId="37" fillId="4" borderId="31" xfId="1" applyNumberFormat="1" applyFont="1" applyFill="1" applyBorder="1" applyAlignment="1">
      <alignment horizontal="center" vertical="top"/>
    </xf>
    <xf numFmtId="0" fontId="37" fillId="2" borderId="9" xfId="0" applyFont="1" applyFill="1" applyBorder="1" applyAlignment="1">
      <alignment horizontal="center" vertical="center" wrapText="1"/>
    </xf>
    <xf numFmtId="0" fontId="37" fillId="2" borderId="6" xfId="0" applyFont="1" applyFill="1" applyBorder="1" applyAlignment="1">
      <alignment horizontal="center" vertical="center" wrapText="1"/>
    </xf>
    <xf numFmtId="164" fontId="28" fillId="0" borderId="68" xfId="1" applyNumberFormat="1" applyFont="1" applyFill="1" applyBorder="1" applyAlignment="1">
      <alignment horizontal="left" vertical="top" wrapText="1"/>
    </xf>
    <xf numFmtId="164" fontId="37" fillId="0" borderId="36" xfId="1" applyNumberFormat="1" applyFont="1" applyFill="1" applyBorder="1" applyAlignment="1">
      <alignment horizontal="left" vertical="top" wrapText="1"/>
    </xf>
    <xf numFmtId="167" fontId="44" fillId="0" borderId="0" xfId="0" applyNumberFormat="1" applyFont="1"/>
    <xf numFmtId="167" fontId="33" fillId="0" borderId="9" xfId="1" applyNumberFormat="1" applyFont="1" applyFill="1" applyBorder="1" applyAlignment="1">
      <alignment horizontal="center" vertical="top"/>
    </xf>
    <xf numFmtId="167" fontId="44" fillId="0" borderId="0" xfId="0" applyNumberFormat="1" applyFont="1" applyAlignment="1">
      <alignment horizontal="center"/>
    </xf>
    <xf numFmtId="1" fontId="37" fillId="4" borderId="29" xfId="1" applyNumberFormat="1" applyFont="1" applyFill="1" applyBorder="1" applyAlignment="1">
      <alignment horizontal="center" vertical="top"/>
    </xf>
    <xf numFmtId="1" fontId="37" fillId="4" borderId="31" xfId="1" applyNumberFormat="1" applyFont="1" applyFill="1" applyBorder="1" applyAlignment="1">
      <alignment horizontal="center" vertical="top"/>
    </xf>
    <xf numFmtId="0" fontId="13" fillId="2" borderId="11" xfId="0" applyFont="1" applyFill="1" applyBorder="1" applyAlignment="1">
      <alignment horizontal="center" vertical="center" wrapText="1"/>
    </xf>
    <xf numFmtId="0" fontId="13" fillId="0" borderId="9" xfId="0" applyFont="1" applyBorder="1" applyAlignment="1">
      <alignment vertical="center" wrapText="1"/>
    </xf>
    <xf numFmtId="0" fontId="12" fillId="0" borderId="9" xfId="0" applyFont="1" applyBorder="1" applyAlignment="1">
      <alignment vertical="center" wrapText="1"/>
    </xf>
    <xf numFmtId="0" fontId="49" fillId="0" borderId="0" xfId="0" applyFont="1" applyBorder="1" applyAlignment="1">
      <alignment vertical="center" wrapText="1"/>
    </xf>
    <xf numFmtId="1" fontId="37" fillId="4" borderId="72" xfId="1" applyNumberFormat="1" applyFont="1" applyFill="1" applyBorder="1" applyAlignment="1">
      <alignment horizontal="center" vertical="top"/>
    </xf>
    <xf numFmtId="164" fontId="28" fillId="0" borderId="36" xfId="1" applyNumberFormat="1" applyFont="1" applyFill="1" applyBorder="1" applyAlignment="1">
      <alignment horizontal="left" vertical="top" wrapText="1"/>
    </xf>
    <xf numFmtId="165" fontId="11" fillId="39" borderId="30" xfId="0" applyNumberFormat="1" applyFont="1" applyFill="1" applyBorder="1" applyAlignment="1">
      <alignment horizontal="center" vertical="center" wrapText="1"/>
    </xf>
    <xf numFmtId="0" fontId="11" fillId="39" borderId="24" xfId="0" applyFont="1" applyFill="1" applyBorder="1" applyAlignment="1">
      <alignment horizontal="center" vertical="center" textRotation="90" wrapText="1"/>
    </xf>
    <xf numFmtId="0" fontId="11" fillId="39" borderId="24" xfId="0" applyFont="1" applyFill="1" applyBorder="1" applyAlignment="1">
      <alignment horizontal="center" vertical="center" textRotation="90"/>
    </xf>
    <xf numFmtId="1" fontId="37" fillId="4" borderId="31" xfId="1" applyNumberFormat="1" applyFont="1" applyFill="1" applyBorder="1" applyAlignment="1">
      <alignment horizontal="center" vertical="center"/>
    </xf>
    <xf numFmtId="0" fontId="11" fillId="39" borderId="22" xfId="0" applyFont="1" applyFill="1" applyBorder="1" applyAlignment="1">
      <alignment horizontal="center" vertical="center" textRotation="90" wrapText="1"/>
    </xf>
    <xf numFmtId="170" fontId="22" fillId="36" borderId="5" xfId="1" applyNumberFormat="1" applyFont="1" applyFill="1" applyBorder="1" applyAlignment="1">
      <alignment horizontal="center" vertical="center"/>
    </xf>
    <xf numFmtId="0" fontId="37" fillId="4" borderId="8" xfId="1" applyNumberFormat="1" applyFont="1" applyFill="1" applyBorder="1" applyAlignment="1">
      <alignment horizontal="center" vertical="top"/>
    </xf>
    <xf numFmtId="0" fontId="28" fillId="0" borderId="2" xfId="0" applyFont="1" applyFill="1" applyBorder="1" applyAlignment="1">
      <alignment horizontal="center" vertical="center" wrapText="1"/>
    </xf>
    <xf numFmtId="170" fontId="37" fillId="4" borderId="5" xfId="1" applyNumberFormat="1" applyFont="1" applyFill="1" applyBorder="1" applyAlignment="1">
      <alignment horizontal="center" vertical="top"/>
    </xf>
    <xf numFmtId="0" fontId="37" fillId="4" borderId="5" xfId="1" applyNumberFormat="1" applyFont="1" applyFill="1" applyBorder="1" applyAlignment="1">
      <alignment horizontal="center" vertical="top"/>
    </xf>
    <xf numFmtId="0" fontId="37" fillId="4" borderId="5" xfId="1" applyNumberFormat="1" applyFont="1" applyFill="1" applyBorder="1" applyAlignment="1">
      <alignment horizontal="center" vertical="center"/>
    </xf>
    <xf numFmtId="0" fontId="37" fillId="0" borderId="5" xfId="1" applyNumberFormat="1" applyFont="1" applyFill="1" applyBorder="1" applyAlignment="1">
      <alignment horizontal="center" vertical="top"/>
    </xf>
    <xf numFmtId="0" fontId="37" fillId="0" borderId="41" xfId="1" applyNumberFormat="1" applyFont="1" applyFill="1" applyBorder="1" applyAlignment="1">
      <alignment horizontal="center" vertical="top"/>
    </xf>
    <xf numFmtId="0" fontId="37" fillId="4" borderId="41" xfId="1" applyNumberFormat="1" applyFont="1" applyFill="1" applyBorder="1" applyAlignment="1">
      <alignment horizontal="center" vertical="top"/>
    </xf>
    <xf numFmtId="1" fontId="4" fillId="4" borderId="5" xfId="1" applyNumberFormat="1" applyFont="1" applyFill="1" applyBorder="1" applyAlignment="1">
      <alignment horizontal="center" vertical="top" wrapText="1"/>
    </xf>
    <xf numFmtId="165" fontId="11" fillId="40" borderId="37" xfId="0" applyNumberFormat="1" applyFont="1" applyFill="1" applyBorder="1" applyAlignment="1">
      <alignment horizontal="center" vertical="center" wrapText="1"/>
    </xf>
    <xf numFmtId="0" fontId="11" fillId="40" borderId="33" xfId="0" applyFont="1" applyFill="1" applyBorder="1" applyAlignment="1">
      <alignment horizontal="center" vertical="center" textRotation="90" wrapText="1"/>
    </xf>
    <xf numFmtId="0" fontId="11" fillId="40" borderId="33" xfId="0" applyFont="1" applyFill="1" applyBorder="1" applyAlignment="1">
      <alignment horizontal="center" vertical="center" textRotation="90"/>
    </xf>
    <xf numFmtId="0" fontId="11" fillId="40" borderId="38" xfId="0" applyFont="1" applyFill="1" applyBorder="1" applyAlignment="1">
      <alignment horizontal="center" vertical="center" textRotation="90" wrapText="1"/>
    </xf>
    <xf numFmtId="165" fontId="11" fillId="36" borderId="30" xfId="0" applyNumberFormat="1" applyFont="1" applyFill="1" applyBorder="1" applyAlignment="1">
      <alignment horizontal="center" vertical="center" wrapText="1"/>
    </xf>
    <xf numFmtId="0" fontId="11" fillId="36" borderId="24" xfId="0" applyFont="1" applyFill="1" applyBorder="1" applyAlignment="1">
      <alignment horizontal="center" vertical="center" textRotation="90" wrapText="1"/>
    </xf>
    <xf numFmtId="0" fontId="11" fillId="36" borderId="24" xfId="0" applyFont="1" applyFill="1" applyBorder="1" applyAlignment="1">
      <alignment horizontal="center" vertical="center" textRotation="90"/>
    </xf>
    <xf numFmtId="0" fontId="11" fillId="36" borderId="39" xfId="0" applyFont="1" applyFill="1" applyBorder="1" applyAlignment="1">
      <alignment horizontal="center" vertical="center" textRotation="90" wrapText="1"/>
    </xf>
    <xf numFmtId="165" fontId="11" fillId="8" borderId="30" xfId="0" applyNumberFormat="1" applyFont="1" applyFill="1" applyBorder="1" applyAlignment="1">
      <alignment horizontal="center" vertical="center" wrapText="1"/>
    </xf>
    <xf numFmtId="0" fontId="11" fillId="8" borderId="24" xfId="0" applyFont="1" applyFill="1" applyBorder="1" applyAlignment="1">
      <alignment horizontal="center" vertical="center" textRotation="90" wrapText="1"/>
    </xf>
    <xf numFmtId="0" fontId="11" fillId="8" borderId="24" xfId="0" applyFont="1" applyFill="1" applyBorder="1" applyAlignment="1">
      <alignment horizontal="center" vertical="center" textRotation="90"/>
    </xf>
    <xf numFmtId="0" fontId="11" fillId="8" borderId="39" xfId="0" applyFont="1" applyFill="1" applyBorder="1" applyAlignment="1">
      <alignment horizontal="center" vertical="center" textRotation="90" wrapText="1"/>
    </xf>
    <xf numFmtId="165" fontId="4" fillId="0" borderId="0" xfId="0" applyNumberFormat="1" applyFont="1"/>
    <xf numFmtId="0" fontId="4" fillId="0" borderId="0" xfId="0" applyFont="1"/>
    <xf numFmtId="165" fontId="42" fillId="0" borderId="0" xfId="0" applyNumberFormat="1" applyFont="1" applyAlignment="1">
      <alignment vertical="center"/>
    </xf>
    <xf numFmtId="165" fontId="11" fillId="7" borderId="9" xfId="0" applyNumberFormat="1" applyFont="1" applyFill="1" applyBorder="1" applyAlignment="1">
      <alignment horizontal="center" vertical="center" textRotation="90" wrapText="1"/>
    </xf>
    <xf numFmtId="165" fontId="11" fillId="7" borderId="9" xfId="0" applyNumberFormat="1" applyFont="1" applyFill="1" applyBorder="1" applyAlignment="1">
      <alignment horizontal="center" vertical="center" textRotation="90"/>
    </xf>
    <xf numFmtId="165" fontId="11" fillId="7" borderId="4" xfId="0" applyNumberFormat="1" applyFont="1" applyFill="1" applyBorder="1" applyAlignment="1">
      <alignment horizontal="center" vertical="center" wrapText="1"/>
    </xf>
    <xf numFmtId="165" fontId="11" fillId="7" borderId="19" xfId="0" applyNumberFormat="1" applyFont="1" applyFill="1" applyBorder="1" applyAlignment="1">
      <alignment horizontal="center" vertical="center" textRotation="90" wrapText="1"/>
    </xf>
    <xf numFmtId="165" fontId="7" fillId="36" borderId="9" xfId="0" applyNumberFormat="1" applyFont="1" applyFill="1" applyBorder="1" applyAlignment="1">
      <alignment horizontal="center" vertical="center" wrapText="1"/>
    </xf>
    <xf numFmtId="49" fontId="22" fillId="36" borderId="12" xfId="0" applyNumberFormat="1" applyFont="1" applyFill="1" applyBorder="1" applyAlignment="1">
      <alignment horizontal="center" vertical="center"/>
    </xf>
    <xf numFmtId="165" fontId="7" fillId="36" borderId="13" xfId="0" applyNumberFormat="1" applyFont="1" applyFill="1" applyBorder="1" applyAlignment="1">
      <alignment horizontal="center" vertical="center" wrapText="1"/>
    </xf>
    <xf numFmtId="165" fontId="37" fillId="0" borderId="10" xfId="0" applyNumberFormat="1" applyFont="1" applyBorder="1" applyAlignment="1">
      <alignment horizontal="center" vertical="center"/>
    </xf>
    <xf numFmtId="1" fontId="22" fillId="36" borderId="37" xfId="1" applyNumberFormat="1" applyFont="1" applyFill="1" applyBorder="1" applyAlignment="1">
      <alignment horizontal="center" vertical="center"/>
    </xf>
    <xf numFmtId="164" fontId="22" fillId="36" borderId="52" xfId="1" applyNumberFormat="1" applyFont="1" applyFill="1" applyBorder="1" applyAlignment="1">
      <alignment horizontal="left" vertical="center" wrapText="1"/>
    </xf>
    <xf numFmtId="49" fontId="22" fillId="36" borderId="33" xfId="0" applyNumberFormat="1" applyFont="1" applyFill="1" applyBorder="1" applyAlignment="1">
      <alignment horizontal="center" vertical="center"/>
    </xf>
    <xf numFmtId="1" fontId="37" fillId="4" borderId="30" xfId="1" applyNumberFormat="1" applyFont="1" applyFill="1" applyBorder="1" applyAlignment="1">
      <alignment horizontal="center" vertical="top"/>
    </xf>
    <xf numFmtId="164" fontId="37" fillId="4" borderId="34" xfId="1" applyNumberFormat="1" applyFont="1" applyFill="1" applyBorder="1" applyAlignment="1">
      <alignment horizontal="left" vertical="top" wrapText="1"/>
    </xf>
    <xf numFmtId="49" fontId="37" fillId="0" borderId="16" xfId="0" applyNumberFormat="1" applyFont="1" applyFill="1" applyBorder="1" applyAlignment="1">
      <alignment horizontal="center" vertical="center" wrapText="1"/>
    </xf>
    <xf numFmtId="164" fontId="37" fillId="4" borderId="36" xfId="1" applyNumberFormat="1" applyFont="1" applyFill="1" applyBorder="1" applyAlignment="1">
      <alignment horizontal="left" vertical="top" wrapText="1"/>
    </xf>
    <xf numFmtId="49" fontId="37" fillId="0" borderId="21" xfId="0" applyNumberFormat="1" applyFont="1" applyFill="1" applyBorder="1" applyAlignment="1">
      <alignment horizontal="center" vertical="center" wrapText="1"/>
    </xf>
    <xf numFmtId="0" fontId="36" fillId="0" borderId="0" xfId="0" applyFont="1" applyFill="1" applyAlignment="1">
      <alignment vertical="center"/>
    </xf>
    <xf numFmtId="0" fontId="29" fillId="0" borderId="34" xfId="0" applyFont="1" applyFill="1" applyBorder="1" applyAlignment="1">
      <alignment horizontal="center" vertical="center" wrapText="1"/>
    </xf>
    <xf numFmtId="0" fontId="30" fillId="0" borderId="0" xfId="0" applyFont="1" applyFill="1"/>
    <xf numFmtId="170" fontId="22" fillId="36" borderId="5" xfId="1" applyNumberFormat="1" applyFont="1" applyFill="1" applyBorder="1" applyAlignment="1">
      <alignment horizontal="center" vertical="top"/>
    </xf>
    <xf numFmtId="0" fontId="37" fillId="4" borderId="14" xfId="1" applyNumberFormat="1" applyFont="1" applyFill="1" applyBorder="1" applyAlignment="1">
      <alignment horizontal="center" vertical="top"/>
    </xf>
    <xf numFmtId="164" fontId="37" fillId="0" borderId="34" xfId="1" applyNumberFormat="1" applyFont="1" applyFill="1" applyBorder="1" applyAlignment="1">
      <alignment horizontal="left" vertical="top" wrapText="1"/>
    </xf>
    <xf numFmtId="165" fontId="7" fillId="0" borderId="10" xfId="0" applyNumberFormat="1" applyFont="1" applyFill="1" applyBorder="1" applyAlignment="1">
      <alignment horizontal="center" vertical="center" wrapText="1"/>
    </xf>
    <xf numFmtId="1" fontId="22" fillId="36" borderId="31" xfId="1" applyNumberFormat="1" applyFont="1" applyFill="1" applyBorder="1" applyAlignment="1">
      <alignment horizontal="center" vertical="center"/>
    </xf>
    <xf numFmtId="49" fontId="22" fillId="36" borderId="24" xfId="0" applyNumberFormat="1" applyFont="1" applyFill="1" applyBorder="1" applyAlignment="1">
      <alignment horizontal="center" vertical="center"/>
    </xf>
    <xf numFmtId="1" fontId="37" fillId="4" borderId="37" xfId="1" applyNumberFormat="1" applyFont="1" applyFill="1" applyBorder="1" applyAlignment="1">
      <alignment horizontal="center" vertical="top"/>
    </xf>
    <xf numFmtId="164" fontId="37" fillId="0" borderId="52" xfId="1" applyNumberFormat="1" applyFont="1" applyFill="1" applyBorder="1" applyAlignment="1">
      <alignment horizontal="left" vertical="top" wrapText="1"/>
    </xf>
    <xf numFmtId="49" fontId="28" fillId="0" borderId="33" xfId="0" applyNumberFormat="1" applyFont="1" applyFill="1" applyBorder="1" applyAlignment="1">
      <alignment horizontal="center" vertical="center"/>
    </xf>
    <xf numFmtId="0" fontId="28" fillId="3" borderId="10" xfId="3" applyFont="1" applyFill="1" applyBorder="1" applyAlignment="1">
      <alignment horizontal="center" vertical="center" wrapText="1"/>
    </xf>
    <xf numFmtId="165" fontId="35" fillId="0" borderId="10" xfId="0" applyNumberFormat="1" applyFont="1" applyFill="1" applyBorder="1" applyAlignment="1">
      <alignment horizontal="center" vertical="center" wrapText="1"/>
    </xf>
    <xf numFmtId="0" fontId="37" fillId="2" borderId="44" xfId="0" applyFont="1" applyFill="1" applyBorder="1" applyAlignment="1">
      <alignment horizontal="center" vertical="center" wrapText="1"/>
    </xf>
    <xf numFmtId="165" fontId="7" fillId="36" borderId="71" xfId="0" applyNumberFormat="1" applyFont="1" applyFill="1" applyBorder="1" applyAlignment="1">
      <alignment horizontal="center" vertical="center" wrapText="1"/>
    </xf>
    <xf numFmtId="165" fontId="7" fillId="36" borderId="19" xfId="0" applyNumberFormat="1" applyFont="1" applyFill="1" applyBorder="1" applyAlignment="1">
      <alignment horizontal="center" vertical="center" wrapText="1"/>
    </xf>
    <xf numFmtId="0" fontId="37" fillId="0" borderId="14" xfId="1" applyNumberFormat="1" applyFont="1" applyFill="1" applyBorder="1" applyAlignment="1">
      <alignment horizontal="center" vertical="top"/>
    </xf>
    <xf numFmtId="170" fontId="22" fillId="36" borderId="77" xfId="1" applyNumberFormat="1" applyFont="1" applyFill="1" applyBorder="1" applyAlignment="1">
      <alignment horizontal="center" vertical="center"/>
    </xf>
    <xf numFmtId="0" fontId="37" fillId="4" borderId="2" xfId="1" applyNumberFormat="1" applyFont="1" applyFill="1" applyBorder="1" applyAlignment="1">
      <alignment horizontal="center" vertical="top"/>
    </xf>
    <xf numFmtId="170" fontId="22" fillId="36" borderId="25" xfId="1" applyNumberFormat="1" applyFont="1" applyFill="1" applyBorder="1" applyAlignment="1">
      <alignment horizontal="center" vertical="center"/>
    </xf>
    <xf numFmtId="0" fontId="37" fillId="0" borderId="77" xfId="1" applyNumberFormat="1" applyFont="1" applyFill="1" applyBorder="1" applyAlignment="1">
      <alignment horizontal="center" vertical="top"/>
    </xf>
    <xf numFmtId="0" fontId="37" fillId="2" borderId="35" xfId="0" applyFont="1" applyFill="1" applyBorder="1" applyAlignment="1">
      <alignment horizontal="left" vertical="center" wrapText="1"/>
    </xf>
    <xf numFmtId="164" fontId="22" fillId="36" borderId="70" xfId="1" applyNumberFormat="1" applyFont="1" applyFill="1" applyBorder="1" applyAlignment="1">
      <alignment horizontal="left" vertical="center" wrapText="1"/>
    </xf>
    <xf numFmtId="0" fontId="23" fillId="36" borderId="0" xfId="0" applyFont="1" applyFill="1" applyAlignment="1">
      <alignment vertical="center"/>
    </xf>
    <xf numFmtId="0" fontId="46" fillId="36" borderId="0" xfId="0" applyFont="1" applyFill="1"/>
    <xf numFmtId="0" fontId="27" fillId="36" borderId="0" xfId="0" applyFont="1" applyFill="1"/>
    <xf numFmtId="0" fontId="2" fillId="36" borderId="0" xfId="0" applyFont="1" applyFill="1" applyAlignment="1">
      <alignment vertical="center"/>
    </xf>
    <xf numFmtId="0" fontId="2" fillId="36" borderId="0" xfId="0" applyFont="1" applyFill="1"/>
    <xf numFmtId="0" fontId="0" fillId="36" borderId="0" xfId="0" applyFill="1"/>
    <xf numFmtId="0" fontId="7" fillId="2" borderId="4" xfId="0" applyFont="1" applyFill="1" applyBorder="1" applyAlignment="1">
      <alignment horizontal="center" vertical="center" wrapText="1"/>
    </xf>
    <xf numFmtId="49" fontId="22" fillId="36" borderId="31" xfId="0" applyNumberFormat="1" applyFont="1" applyFill="1" applyBorder="1" applyAlignment="1">
      <alignment horizontal="center" vertical="center"/>
    </xf>
    <xf numFmtId="49" fontId="37" fillId="0" borderId="4" xfId="0" applyNumberFormat="1" applyFont="1" applyFill="1" applyBorder="1" applyAlignment="1">
      <alignment horizontal="center" vertical="center" wrapText="1"/>
    </xf>
    <xf numFmtId="49" fontId="37" fillId="0" borderId="4" xfId="0" applyNumberFormat="1" applyFont="1" applyBorder="1" applyAlignment="1">
      <alignment horizontal="center" vertical="center" wrapText="1"/>
    </xf>
    <xf numFmtId="49" fontId="37" fillId="0" borderId="7" xfId="0" applyNumberFormat="1" applyFont="1" applyBorder="1" applyAlignment="1">
      <alignment horizontal="center" vertical="center" wrapText="1"/>
    </xf>
    <xf numFmtId="49" fontId="37" fillId="0" borderId="21" xfId="0" applyNumberFormat="1" applyFont="1" applyBorder="1" applyAlignment="1">
      <alignment horizontal="center" vertical="center" wrapText="1"/>
    </xf>
    <xf numFmtId="1" fontId="22" fillId="36" borderId="29" xfId="1" applyNumberFormat="1" applyFont="1" applyFill="1" applyBorder="1" applyAlignment="1">
      <alignment horizontal="center" vertical="center"/>
    </xf>
    <xf numFmtId="170" fontId="22" fillId="36" borderId="41" xfId="1" applyNumberFormat="1" applyFont="1" applyFill="1" applyBorder="1" applyAlignment="1">
      <alignment horizontal="center" vertical="center"/>
    </xf>
    <xf numFmtId="164" fontId="22" fillId="36" borderId="69" xfId="1" applyNumberFormat="1" applyFont="1" applyFill="1" applyBorder="1" applyAlignment="1">
      <alignment horizontal="left" vertical="center" wrapText="1"/>
    </xf>
    <xf numFmtId="165" fontId="37" fillId="0" borderId="11" xfId="0" applyNumberFormat="1" applyFont="1" applyFill="1" applyBorder="1" applyAlignment="1">
      <alignment horizontal="center" vertical="center" wrapText="1"/>
    </xf>
    <xf numFmtId="165" fontId="7" fillId="0" borderId="11" xfId="0" applyNumberFormat="1" applyFont="1" applyFill="1" applyBorder="1" applyAlignment="1">
      <alignment horizontal="center" vertical="center" wrapText="1"/>
    </xf>
    <xf numFmtId="165" fontId="7" fillId="0" borderId="18" xfId="0" applyNumberFormat="1" applyFont="1" applyFill="1" applyBorder="1" applyAlignment="1">
      <alignment horizontal="center" vertical="center" wrapText="1"/>
    </xf>
    <xf numFmtId="0" fontId="37" fillId="0" borderId="82" xfId="1" applyNumberFormat="1" applyFont="1" applyFill="1" applyBorder="1" applyAlignment="1">
      <alignment horizontal="center" vertical="top"/>
    </xf>
    <xf numFmtId="164" fontId="37" fillId="0" borderId="63" xfId="1" applyNumberFormat="1" applyFont="1" applyFill="1" applyBorder="1" applyAlignment="1">
      <alignment horizontal="left" vertical="top" wrapText="1"/>
    </xf>
    <xf numFmtId="165" fontId="37" fillId="0" borderId="13" xfId="0" applyNumberFormat="1" applyFont="1" applyFill="1" applyBorder="1" applyAlignment="1">
      <alignment horizontal="center" vertical="center" wrapText="1"/>
    </xf>
    <xf numFmtId="165" fontId="37" fillId="0" borderId="13" xfId="0" applyNumberFormat="1" applyFont="1" applyFill="1" applyBorder="1" applyAlignment="1">
      <alignment horizontal="center" vertical="center"/>
    </xf>
    <xf numFmtId="165" fontId="37" fillId="0" borderId="13" xfId="0" applyNumberFormat="1" applyFont="1" applyFill="1" applyBorder="1" applyAlignment="1">
      <alignment vertical="center"/>
    </xf>
    <xf numFmtId="165" fontId="37" fillId="0" borderId="71" xfId="0" applyNumberFormat="1" applyFont="1" applyFill="1" applyBorder="1" applyAlignment="1">
      <alignment vertical="center"/>
    </xf>
    <xf numFmtId="165" fontId="7" fillId="36" borderId="9" xfId="0" applyNumberFormat="1" applyFont="1" applyFill="1" applyBorder="1" applyAlignment="1">
      <alignment horizontal="center" vertical="center"/>
    </xf>
    <xf numFmtId="165" fontId="7" fillId="36" borderId="9" xfId="0" applyNumberFormat="1" applyFont="1" applyFill="1" applyBorder="1" applyAlignment="1">
      <alignment vertical="center"/>
    </xf>
    <xf numFmtId="165" fontId="7" fillId="36" borderId="19" xfId="0" applyNumberFormat="1" applyFont="1" applyFill="1" applyBorder="1" applyAlignment="1">
      <alignment vertical="center"/>
    </xf>
    <xf numFmtId="165" fontId="37" fillId="0" borderId="9" xfId="0" applyNumberFormat="1" applyFont="1" applyBorder="1"/>
    <xf numFmtId="165" fontId="37" fillId="0" borderId="11" xfId="0" applyNumberFormat="1" applyFont="1" applyFill="1" applyBorder="1" applyAlignment="1">
      <alignment horizontal="center" vertical="center"/>
    </xf>
    <xf numFmtId="165" fontId="37" fillId="0" borderId="11" xfId="0" applyNumberFormat="1" applyFont="1" applyFill="1" applyBorder="1" applyAlignment="1">
      <alignment vertical="center"/>
    </xf>
    <xf numFmtId="164" fontId="37" fillId="4" borderId="68" xfId="1" applyNumberFormat="1" applyFont="1" applyFill="1" applyBorder="1" applyAlignment="1">
      <alignment horizontal="left" vertical="top" wrapText="1"/>
    </xf>
    <xf numFmtId="164" fontId="37" fillId="0" borderId="69" xfId="1" applyNumberFormat="1" applyFont="1" applyFill="1" applyBorder="1" applyAlignment="1">
      <alignment horizontal="left" vertical="top" wrapText="1"/>
    </xf>
    <xf numFmtId="165" fontId="37" fillId="0" borderId="71" xfId="0" applyNumberFormat="1" applyFont="1" applyFill="1" applyBorder="1" applyAlignment="1">
      <alignment horizontal="center" vertical="center"/>
    </xf>
    <xf numFmtId="165" fontId="7" fillId="36" borderId="33" xfId="0" applyNumberFormat="1" applyFont="1" applyFill="1" applyBorder="1" applyAlignment="1">
      <alignment horizontal="center" vertical="center" wrapText="1"/>
    </xf>
    <xf numFmtId="165" fontId="7" fillId="36" borderId="33" xfId="0" applyNumberFormat="1" applyFont="1" applyFill="1" applyBorder="1" applyAlignment="1">
      <alignment horizontal="center" vertical="center"/>
    </xf>
    <xf numFmtId="165" fontId="7" fillId="36" borderId="33" xfId="0" applyNumberFormat="1" applyFont="1" applyFill="1" applyBorder="1" applyAlignment="1">
      <alignment vertical="center"/>
    </xf>
    <xf numFmtId="165" fontId="7" fillId="36" borderId="38" xfId="0" applyNumberFormat="1" applyFont="1" applyFill="1" applyBorder="1" applyAlignment="1">
      <alignment vertical="center"/>
    </xf>
    <xf numFmtId="165" fontId="7" fillId="3" borderId="77" xfId="0" applyNumberFormat="1" applyFont="1" applyFill="1" applyBorder="1" applyAlignment="1">
      <alignment horizontal="center" vertical="center" wrapText="1"/>
    </xf>
    <xf numFmtId="165" fontId="7" fillId="3" borderId="38" xfId="0" applyNumberFormat="1" applyFont="1" applyFill="1" applyBorder="1" applyAlignment="1">
      <alignment horizontal="center" vertical="center" wrapText="1"/>
    </xf>
    <xf numFmtId="165" fontId="7" fillId="3" borderId="65" xfId="0" applyNumberFormat="1"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21" xfId="0" applyFont="1" applyFill="1" applyBorder="1" applyAlignment="1">
      <alignment horizontal="center" vertical="center" wrapText="1"/>
    </xf>
    <xf numFmtId="165" fontId="37" fillId="0" borderId="11" xfId="0" applyNumberFormat="1" applyFont="1" applyBorder="1"/>
    <xf numFmtId="165" fontId="37" fillId="0" borderId="13" xfId="0" applyNumberFormat="1" applyFont="1" applyBorder="1"/>
    <xf numFmtId="165" fontId="7" fillId="3" borderId="66" xfId="0" applyNumberFormat="1" applyFont="1" applyFill="1" applyBorder="1" applyAlignment="1">
      <alignment horizontal="center" vertical="center" wrapText="1"/>
    </xf>
    <xf numFmtId="165" fontId="7" fillId="36" borderId="32" xfId="0" applyNumberFormat="1" applyFont="1" applyFill="1" applyBorder="1" applyAlignment="1">
      <alignment horizontal="center" vertical="center" wrapText="1"/>
    </xf>
    <xf numFmtId="165" fontId="7" fillId="36" borderId="10" xfId="0" applyNumberFormat="1" applyFont="1" applyFill="1" applyBorder="1" applyAlignment="1">
      <alignment horizontal="center" vertical="center"/>
    </xf>
    <xf numFmtId="165" fontId="7" fillId="0" borderId="10" xfId="0" applyNumberFormat="1" applyFont="1" applyFill="1" applyBorder="1" applyAlignment="1">
      <alignment horizontal="center" vertical="top" wrapText="1"/>
    </xf>
    <xf numFmtId="165" fontId="7" fillId="36" borderId="10" xfId="0" applyNumberFormat="1" applyFont="1" applyFill="1" applyBorder="1" applyAlignment="1">
      <alignment horizontal="center" vertical="center" wrapText="1"/>
    </xf>
    <xf numFmtId="165" fontId="28" fillId="0" borderId="10" xfId="1" applyNumberFormat="1" applyFont="1" applyFill="1" applyBorder="1" applyAlignment="1">
      <alignment horizontal="center" vertical="center" wrapText="1"/>
    </xf>
    <xf numFmtId="165" fontId="7" fillId="0" borderId="15" xfId="0" applyNumberFormat="1" applyFont="1" applyFill="1" applyBorder="1" applyAlignment="1">
      <alignment horizontal="center" vertical="center" wrapText="1"/>
    </xf>
    <xf numFmtId="165" fontId="7" fillId="36" borderId="29" xfId="0" applyNumberFormat="1" applyFont="1" applyFill="1" applyBorder="1" applyAlignment="1">
      <alignment horizontal="center" vertical="center" wrapText="1"/>
    </xf>
    <xf numFmtId="165" fontId="37" fillId="0" borderId="4" xfId="0" applyNumberFormat="1" applyFont="1" applyFill="1" applyBorder="1" applyAlignment="1">
      <alignment horizontal="center" vertical="center"/>
    </xf>
    <xf numFmtId="165" fontId="7" fillId="36" borderId="4" xfId="0" applyNumberFormat="1" applyFont="1" applyFill="1" applyBorder="1" applyAlignment="1">
      <alignment horizontal="center" vertical="center"/>
    </xf>
    <xf numFmtId="165" fontId="7" fillId="36" borderId="19" xfId="0" applyNumberFormat="1" applyFont="1" applyFill="1" applyBorder="1" applyAlignment="1">
      <alignment horizontal="center" vertical="center"/>
    </xf>
    <xf numFmtId="165" fontId="7" fillId="36" borderId="4" xfId="0" applyNumberFormat="1" applyFont="1" applyFill="1" applyBorder="1" applyAlignment="1">
      <alignment horizontal="center" vertical="center" wrapText="1"/>
    </xf>
    <xf numFmtId="165" fontId="37" fillId="0" borderId="4" xfId="0" applyNumberFormat="1" applyFont="1" applyFill="1" applyBorder="1" applyAlignment="1">
      <alignment horizontal="center" vertical="center" wrapText="1"/>
    </xf>
    <xf numFmtId="165" fontId="37" fillId="0" borderId="19" xfId="0" applyNumberFormat="1" applyFont="1" applyFill="1" applyBorder="1" applyAlignment="1">
      <alignment horizontal="center" vertical="center" wrapText="1"/>
    </xf>
    <xf numFmtId="165" fontId="37" fillId="0" borderId="28" xfId="0" applyNumberFormat="1" applyFont="1" applyFill="1" applyBorder="1" applyAlignment="1">
      <alignment horizontal="center" vertical="center" wrapText="1"/>
    </xf>
    <xf numFmtId="165" fontId="37" fillId="0" borderId="18" xfId="0" applyNumberFormat="1" applyFont="1" applyFill="1" applyBorder="1" applyAlignment="1">
      <alignment horizontal="center" vertical="center" wrapText="1"/>
    </xf>
    <xf numFmtId="165" fontId="7" fillId="36" borderId="37" xfId="0" applyNumberFormat="1" applyFont="1" applyFill="1" applyBorder="1" applyAlignment="1">
      <alignment horizontal="center" vertical="center" wrapText="1"/>
    </xf>
    <xf numFmtId="165" fontId="7" fillId="36" borderId="38" xfId="0" applyNumberFormat="1" applyFont="1" applyFill="1" applyBorder="1" applyAlignment="1">
      <alignment horizontal="center" vertical="center" wrapText="1"/>
    </xf>
    <xf numFmtId="165" fontId="37" fillId="0" borderId="29" xfId="0" applyNumberFormat="1" applyFont="1" applyFill="1" applyBorder="1" applyAlignment="1">
      <alignment horizontal="center" vertical="center" wrapText="1"/>
    </xf>
    <xf numFmtId="165" fontId="37" fillId="0" borderId="71" xfId="0" applyNumberFormat="1" applyFont="1" applyFill="1" applyBorder="1" applyAlignment="1">
      <alignment horizontal="center" vertical="center" wrapText="1"/>
    </xf>
    <xf numFmtId="165" fontId="37" fillId="0" borderId="72" xfId="0" applyNumberFormat="1" applyFont="1" applyFill="1" applyBorder="1" applyAlignment="1">
      <alignment horizontal="center" vertical="center" wrapText="1"/>
    </xf>
    <xf numFmtId="165" fontId="37" fillId="0" borderId="85" xfId="0" applyNumberFormat="1" applyFont="1" applyFill="1" applyBorder="1" applyAlignment="1">
      <alignment horizontal="center" vertical="center" wrapText="1"/>
    </xf>
    <xf numFmtId="165" fontId="37" fillId="0" borderId="84" xfId="0" applyNumberFormat="1" applyFont="1" applyFill="1" applyBorder="1" applyAlignment="1">
      <alignment horizontal="center" vertical="center" wrapText="1"/>
    </xf>
    <xf numFmtId="165" fontId="37" fillId="0" borderId="10" xfId="0" applyNumberFormat="1" applyFont="1" applyFill="1" applyBorder="1" applyAlignment="1">
      <alignment horizontal="center" vertical="center"/>
    </xf>
    <xf numFmtId="165" fontId="37" fillId="0" borderId="15" xfId="0" applyNumberFormat="1" applyFont="1" applyFill="1" applyBorder="1" applyAlignment="1">
      <alignment horizontal="center" vertical="center"/>
    </xf>
    <xf numFmtId="165" fontId="7" fillId="36" borderId="76" xfId="0" applyNumberFormat="1" applyFont="1" applyFill="1" applyBorder="1" applyAlignment="1">
      <alignment horizontal="center" vertical="center"/>
    </xf>
    <xf numFmtId="165" fontId="37" fillId="0" borderId="32" xfId="0" applyNumberFormat="1" applyFont="1" applyFill="1" applyBorder="1" applyAlignment="1">
      <alignment horizontal="center" vertical="center"/>
    </xf>
    <xf numFmtId="165" fontId="37" fillId="0" borderId="4" xfId="0" applyNumberFormat="1" applyFont="1" applyBorder="1"/>
    <xf numFmtId="165" fontId="37" fillId="0" borderId="19" xfId="0" applyNumberFormat="1" applyFont="1" applyBorder="1"/>
    <xf numFmtId="165" fontId="7" fillId="0" borderId="4" xfId="0" applyNumberFormat="1" applyFont="1" applyFill="1" applyBorder="1" applyAlignment="1">
      <alignment horizontal="center" vertical="top" wrapText="1"/>
    </xf>
    <xf numFmtId="165" fontId="7" fillId="0" borderId="4" xfId="0" applyNumberFormat="1" applyFont="1" applyFill="1" applyBorder="1" applyAlignment="1">
      <alignment horizontal="center" vertical="center" wrapText="1"/>
    </xf>
    <xf numFmtId="165" fontId="28" fillId="0" borderId="4" xfId="1" applyNumberFormat="1" applyFont="1" applyFill="1" applyBorder="1" applyAlignment="1">
      <alignment horizontal="center" vertical="center" wrapText="1"/>
    </xf>
    <xf numFmtId="165" fontId="28" fillId="0" borderId="19" xfId="1" applyNumberFormat="1" applyFont="1" applyFill="1" applyBorder="1" applyAlignment="1">
      <alignment horizontal="center" vertical="center" wrapText="1"/>
    </xf>
    <xf numFmtId="165" fontId="37" fillId="0" borderId="28" xfId="0" applyNumberFormat="1" applyFont="1" applyBorder="1"/>
    <xf numFmtId="165" fontId="37" fillId="0" borderId="18" xfId="0" applyNumberFormat="1" applyFont="1" applyBorder="1"/>
    <xf numFmtId="165" fontId="37" fillId="0" borderId="29" xfId="0" applyNumberFormat="1" applyFont="1" applyBorder="1"/>
    <xf numFmtId="165" fontId="37" fillId="0" borderId="71" xfId="0" applyNumberFormat="1" applyFont="1" applyBorder="1"/>
    <xf numFmtId="165" fontId="7" fillId="0" borderId="28" xfId="0" applyNumberFormat="1" applyFont="1" applyFill="1" applyBorder="1" applyAlignment="1">
      <alignment horizontal="center" vertical="center" wrapText="1"/>
    </xf>
    <xf numFmtId="165" fontId="37" fillId="0" borderId="72" xfId="0" applyNumberFormat="1" applyFont="1" applyBorder="1"/>
    <xf numFmtId="165" fontId="37" fillId="0" borderId="85" xfId="0" applyNumberFormat="1" applyFont="1" applyBorder="1"/>
    <xf numFmtId="165" fontId="37" fillId="0" borderId="84" xfId="0" applyNumberFormat="1" applyFont="1" applyBorder="1"/>
    <xf numFmtId="165" fontId="7" fillId="36" borderId="41" xfId="0" applyNumberFormat="1" applyFont="1" applyFill="1" applyBorder="1" applyAlignment="1">
      <alignment horizontal="center" vertical="center" wrapText="1"/>
    </xf>
    <xf numFmtId="165" fontId="37" fillId="0" borderId="5" xfId="0" applyNumberFormat="1" applyFont="1" applyFill="1" applyBorder="1" applyAlignment="1">
      <alignment horizontal="center" vertical="center"/>
    </xf>
    <xf numFmtId="165" fontId="7" fillId="36" borderId="5" xfId="0" applyNumberFormat="1" applyFont="1" applyFill="1" applyBorder="1" applyAlignment="1">
      <alignment horizontal="center" vertical="center"/>
    </xf>
    <xf numFmtId="165" fontId="7" fillId="0" borderId="5" xfId="0" applyNumberFormat="1" applyFont="1" applyFill="1" applyBorder="1" applyAlignment="1">
      <alignment horizontal="center" vertical="top" wrapText="1"/>
    </xf>
    <xf numFmtId="165" fontId="7" fillId="36" borderId="5" xfId="0" applyNumberFormat="1" applyFont="1" applyFill="1" applyBorder="1" applyAlignment="1">
      <alignment horizontal="center" vertical="center" wrapText="1"/>
    </xf>
    <xf numFmtId="165" fontId="7" fillId="0" borderId="5" xfId="0" applyNumberFormat="1" applyFont="1" applyFill="1" applyBorder="1" applyAlignment="1">
      <alignment horizontal="center" vertical="center" wrapText="1"/>
    </xf>
    <xf numFmtId="165" fontId="28" fillId="0" borderId="5" xfId="1" applyNumberFormat="1" applyFont="1" applyFill="1" applyBorder="1" applyAlignment="1">
      <alignment horizontal="center" vertical="center" wrapText="1"/>
    </xf>
    <xf numFmtId="165" fontId="37" fillId="0" borderId="14" xfId="0" applyNumberFormat="1" applyFont="1" applyFill="1" applyBorder="1" applyAlignment="1">
      <alignment horizontal="center" vertical="center"/>
    </xf>
    <xf numFmtId="165" fontId="7" fillId="36" borderId="77" xfId="0" applyNumberFormat="1" applyFont="1" applyFill="1" applyBorder="1" applyAlignment="1">
      <alignment horizontal="center" vertical="center"/>
    </xf>
    <xf numFmtId="165" fontId="37" fillId="0" borderId="41" xfId="0" applyNumberFormat="1" applyFont="1" applyFill="1" applyBorder="1" applyAlignment="1">
      <alignment horizontal="center" vertical="center"/>
    </xf>
    <xf numFmtId="165" fontId="7" fillId="0" borderId="14" xfId="0" applyNumberFormat="1" applyFont="1" applyFill="1" applyBorder="1" applyAlignment="1">
      <alignment horizontal="center" vertical="center" wrapText="1"/>
    </xf>
    <xf numFmtId="165" fontId="37" fillId="0" borderId="4" xfId="0" applyNumberFormat="1" applyFont="1" applyFill="1" applyBorder="1" applyAlignment="1">
      <alignment vertical="center"/>
    </xf>
    <xf numFmtId="165" fontId="7" fillId="36" borderId="4" xfId="0" applyNumberFormat="1" applyFont="1" applyFill="1" applyBorder="1" applyAlignment="1">
      <alignment vertical="center"/>
    </xf>
    <xf numFmtId="165" fontId="37" fillId="0" borderId="28" xfId="0" applyNumberFormat="1" applyFont="1" applyFill="1" applyBorder="1" applyAlignment="1">
      <alignment vertical="center"/>
    </xf>
    <xf numFmtId="165" fontId="37" fillId="0" borderId="18" xfId="0" applyNumberFormat="1" applyFont="1" applyFill="1" applyBorder="1" applyAlignment="1">
      <alignment vertical="center"/>
    </xf>
    <xf numFmtId="165" fontId="7" fillId="36" borderId="37" xfId="0" applyNumberFormat="1" applyFont="1" applyFill="1" applyBorder="1" applyAlignment="1">
      <alignment vertical="center"/>
    </xf>
    <xf numFmtId="165" fontId="37" fillId="0" borderId="29" xfId="0" applyNumberFormat="1" applyFont="1" applyFill="1" applyBorder="1" applyAlignment="1">
      <alignment vertical="center"/>
    </xf>
    <xf numFmtId="165" fontId="37" fillId="0" borderId="29" xfId="0" applyNumberFormat="1" applyFont="1" applyFill="1" applyBorder="1" applyAlignment="1">
      <alignment horizontal="center" vertical="center"/>
    </xf>
    <xf numFmtId="165" fontId="37" fillId="0" borderId="72" xfId="0" applyNumberFormat="1" applyFont="1" applyFill="1" applyBorder="1" applyAlignment="1">
      <alignment vertical="center"/>
    </xf>
    <xf numFmtId="165" fontId="37" fillId="0" borderId="85" xfId="0" applyNumberFormat="1" applyFont="1" applyFill="1" applyBorder="1" applyAlignment="1">
      <alignment vertical="center"/>
    </xf>
    <xf numFmtId="165" fontId="37" fillId="0" borderId="84" xfId="0" applyNumberFormat="1" applyFont="1" applyFill="1" applyBorder="1" applyAlignment="1">
      <alignment vertical="center"/>
    </xf>
    <xf numFmtId="0" fontId="28" fillId="3" borderId="37" xfId="0"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8" fillId="3" borderId="38"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8" fillId="2" borderId="76" xfId="0" applyFont="1" applyFill="1" applyBorder="1" applyAlignment="1">
      <alignment horizontal="center" vertical="center" wrapText="1"/>
    </xf>
    <xf numFmtId="0" fontId="28" fillId="2" borderId="77" xfId="0" applyFont="1" applyFill="1" applyBorder="1" applyAlignment="1">
      <alignment horizontal="center" vertical="center" wrapText="1"/>
    </xf>
    <xf numFmtId="165" fontId="37" fillId="0" borderId="4" xfId="0" applyNumberFormat="1" applyFont="1" applyBorder="1" applyAlignment="1">
      <alignment vertical="center"/>
    </xf>
    <xf numFmtId="165" fontId="37" fillId="0" borderId="9" xfId="0" applyNumberFormat="1" applyFont="1" applyBorder="1" applyAlignment="1">
      <alignment vertical="center"/>
    </xf>
    <xf numFmtId="165" fontId="37" fillId="0" borderId="19" xfId="0" applyNumberFormat="1" applyFont="1" applyBorder="1" applyAlignment="1">
      <alignment vertical="center"/>
    </xf>
    <xf numFmtId="0" fontId="80" fillId="0" borderId="0" xfId="0" applyFont="1" applyAlignment="1">
      <alignment vertical="center"/>
    </xf>
    <xf numFmtId="0" fontId="81" fillId="0" borderId="0" xfId="0" applyFont="1"/>
    <xf numFmtId="0" fontId="0" fillId="0" borderId="0" xfId="0" applyAlignment="1">
      <alignment horizontal="center"/>
    </xf>
    <xf numFmtId="0" fontId="80"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vertical="center"/>
    </xf>
    <xf numFmtId="168" fontId="25" fillId="41" borderId="33" xfId="0" applyNumberFormat="1" applyFont="1" applyFill="1" applyBorder="1" applyAlignment="1">
      <alignment horizontal="center" vertical="center" wrapText="1"/>
    </xf>
    <xf numFmtId="0" fontId="25" fillId="41" borderId="11" xfId="0" applyFont="1" applyFill="1" applyBorder="1" applyAlignment="1">
      <alignment vertical="center" wrapText="1"/>
    </xf>
    <xf numFmtId="0" fontId="25" fillId="41" borderId="18" xfId="0" applyFont="1" applyFill="1" applyBorder="1" applyAlignment="1">
      <alignment vertical="center" wrapText="1"/>
    </xf>
    <xf numFmtId="0" fontId="25" fillId="41" borderId="28" xfId="0" applyFont="1" applyFill="1" applyBorder="1" applyAlignment="1">
      <alignment vertical="center" wrapText="1"/>
    </xf>
    <xf numFmtId="0" fontId="82" fillId="41" borderId="0" xfId="0" applyFont="1" applyFill="1"/>
    <xf numFmtId="0" fontId="24" fillId="0" borderId="34" xfId="0" applyFont="1" applyFill="1" applyBorder="1" applyAlignment="1">
      <alignment vertical="center" wrapText="1"/>
    </xf>
    <xf numFmtId="168" fontId="13" fillId="0" borderId="29" xfId="39" applyNumberFormat="1" applyFont="1" applyBorder="1" applyAlignment="1">
      <alignment vertical="center" wrapText="1"/>
    </xf>
    <xf numFmtId="168" fontId="13" fillId="0" borderId="13" xfId="39" applyNumberFormat="1" applyFont="1" applyBorder="1" applyAlignment="1">
      <alignment vertical="center" wrapText="1"/>
    </xf>
    <xf numFmtId="168" fontId="13" fillId="0" borderId="71" xfId="39" applyNumberFormat="1" applyFont="1" applyBorder="1" applyAlignment="1">
      <alignment vertical="center" wrapText="1"/>
    </xf>
    <xf numFmtId="168" fontId="13" fillId="0" borderId="1" xfId="0" applyNumberFormat="1" applyFont="1" applyFill="1" applyBorder="1" applyAlignment="1">
      <alignment vertical="center" wrapText="1"/>
    </xf>
    <xf numFmtId="168" fontId="13" fillId="0" borderId="16" xfId="0" applyNumberFormat="1" applyFont="1" applyFill="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13" fillId="0" borderId="1" xfId="0" applyFont="1" applyBorder="1" applyAlignment="1">
      <alignment vertical="center" wrapText="1"/>
    </xf>
    <xf numFmtId="0" fontId="12" fillId="0" borderId="35" xfId="0" applyFont="1" applyBorder="1" applyAlignment="1">
      <alignment vertical="center" wrapText="1"/>
    </xf>
    <xf numFmtId="168" fontId="13" fillId="0" borderId="4" xfId="39" applyNumberFormat="1" applyFont="1" applyBorder="1" applyAlignment="1">
      <alignment vertical="center" wrapText="1"/>
    </xf>
    <xf numFmtId="168" fontId="13" fillId="0" borderId="9" xfId="39" applyNumberFormat="1" applyFont="1" applyBorder="1" applyAlignment="1">
      <alignment vertical="center" wrapText="1"/>
    </xf>
    <xf numFmtId="168" fontId="13" fillId="0" borderId="19" xfId="39" applyNumberFormat="1" applyFont="1" applyBorder="1" applyAlignment="1">
      <alignment vertical="center" wrapText="1"/>
    </xf>
    <xf numFmtId="164" fontId="13" fillId="0" borderId="4" xfId="39" applyNumberFormat="1" applyFont="1" applyBorder="1" applyAlignment="1">
      <alignment vertical="center" wrapText="1"/>
    </xf>
    <xf numFmtId="164" fontId="13" fillId="0" borderId="9" xfId="39" applyNumberFormat="1" applyFont="1" applyBorder="1" applyAlignment="1">
      <alignment vertical="center" wrapText="1"/>
    </xf>
    <xf numFmtId="164" fontId="13" fillId="0" borderId="19" xfId="39" applyNumberFormat="1" applyFont="1" applyBorder="1" applyAlignment="1">
      <alignment vertical="center" wrapText="1"/>
    </xf>
    <xf numFmtId="168" fontId="13" fillId="0" borderId="4" xfId="0" applyNumberFormat="1" applyFont="1" applyBorder="1" applyAlignment="1">
      <alignment vertical="center" wrapText="1"/>
    </xf>
    <xf numFmtId="168" fontId="13" fillId="0" borderId="9" xfId="0" applyNumberFormat="1" applyFont="1" applyBorder="1" applyAlignment="1">
      <alignment vertical="center" wrapText="1"/>
    </xf>
    <xf numFmtId="0" fontId="12" fillId="0" borderId="36" xfId="0" applyFont="1" applyBorder="1" applyAlignment="1">
      <alignment vertical="center" wrapText="1"/>
    </xf>
    <xf numFmtId="168" fontId="13" fillId="0" borderId="7" xfId="39" applyNumberFormat="1" applyFont="1" applyBorder="1" applyAlignment="1">
      <alignment vertical="center" wrapText="1"/>
    </xf>
    <xf numFmtId="168" fontId="13" fillId="0" borderId="21" xfId="39" applyNumberFormat="1" applyFont="1" applyBorder="1" applyAlignment="1">
      <alignment vertical="center" wrapText="1"/>
    </xf>
    <xf numFmtId="168" fontId="13" fillId="0" borderId="20" xfId="39" applyNumberFormat="1" applyFont="1" applyBorder="1" applyAlignment="1">
      <alignment vertical="center" wrapText="1"/>
    </xf>
    <xf numFmtId="43" fontId="13" fillId="0" borderId="7" xfId="39" applyNumberFormat="1" applyFont="1" applyBorder="1" applyAlignment="1">
      <alignment vertical="center" wrapText="1"/>
    </xf>
    <xf numFmtId="164" fontId="13" fillId="0" borderId="21" xfId="39" applyNumberFormat="1" applyFont="1" applyBorder="1" applyAlignment="1">
      <alignment vertical="center" wrapText="1"/>
    </xf>
    <xf numFmtId="164" fontId="13" fillId="0" borderId="20" xfId="39" applyNumberFormat="1" applyFont="1" applyBorder="1" applyAlignment="1">
      <alignment vertical="center" wrapText="1"/>
    </xf>
    <xf numFmtId="168" fontId="13" fillId="0" borderId="7" xfId="0" applyNumberFormat="1" applyFont="1" applyBorder="1" applyAlignment="1">
      <alignment vertical="center" wrapText="1"/>
    </xf>
    <xf numFmtId="168" fontId="13" fillId="0" borderId="21" xfId="0" applyNumberFormat="1" applyFont="1" applyBorder="1" applyAlignment="1">
      <alignment vertical="center" wrapText="1"/>
    </xf>
    <xf numFmtId="0" fontId="24" fillId="0" borderId="51" xfId="0" applyFont="1" applyBorder="1" applyAlignment="1">
      <alignment vertical="center" wrapText="1"/>
    </xf>
    <xf numFmtId="0" fontId="12" fillId="0" borderId="25" xfId="0" applyFont="1" applyBorder="1" applyAlignment="1">
      <alignment vertical="center" wrapText="1"/>
    </xf>
    <xf numFmtId="168" fontId="13" fillId="0" borderId="31" xfId="39" applyNumberFormat="1" applyFont="1" applyBorder="1" applyAlignment="1">
      <alignment vertical="center" wrapText="1"/>
    </xf>
    <xf numFmtId="168" fontId="13" fillId="0" borderId="12" xfId="39" applyNumberFormat="1" applyFont="1" applyBorder="1" applyAlignment="1">
      <alignment vertical="center" wrapText="1"/>
    </xf>
    <xf numFmtId="168" fontId="13" fillId="0" borderId="83" xfId="39" applyNumberFormat="1" applyFont="1" applyBorder="1" applyAlignment="1">
      <alignment vertical="center" wrapText="1"/>
    </xf>
    <xf numFmtId="168" fontId="13" fillId="0" borderId="31" xfId="0" applyNumberFormat="1" applyFont="1" applyBorder="1" applyAlignment="1">
      <alignment vertical="center" wrapText="1"/>
    </xf>
    <xf numFmtId="168" fontId="13" fillId="0" borderId="12" xfId="0" applyNumberFormat="1" applyFont="1" applyBorder="1" applyAlignment="1">
      <alignment vertical="center" wrapText="1"/>
    </xf>
    <xf numFmtId="0" fontId="13" fillId="0" borderId="12" xfId="0" applyFont="1" applyBorder="1" applyAlignment="1">
      <alignment vertical="center" wrapText="1"/>
    </xf>
    <xf numFmtId="0" fontId="13" fillId="0" borderId="83" xfId="0" applyFont="1" applyBorder="1" applyAlignment="1">
      <alignment vertical="center" wrapText="1"/>
    </xf>
    <xf numFmtId="0" fontId="13" fillId="0" borderId="31" xfId="0" applyFont="1" applyBorder="1" applyAlignment="1">
      <alignment vertical="center" wrapText="1"/>
    </xf>
    <xf numFmtId="0" fontId="24" fillId="0" borderId="45" xfId="0" applyFont="1" applyFill="1" applyBorder="1" applyAlignment="1">
      <alignment vertical="center" wrapText="1"/>
    </xf>
    <xf numFmtId="168" fontId="21" fillId="0" borderId="37" xfId="39" applyNumberFormat="1" applyFont="1" applyBorder="1" applyAlignment="1">
      <alignment vertical="center" wrapText="1"/>
    </xf>
    <xf numFmtId="168" fontId="21" fillId="0" borderId="33" xfId="39" applyNumberFormat="1" applyFont="1" applyBorder="1" applyAlignment="1">
      <alignment vertical="center" wrapText="1"/>
    </xf>
    <xf numFmtId="168" fontId="21" fillId="0" borderId="38" xfId="39" applyNumberFormat="1" applyFont="1" applyBorder="1" applyAlignment="1">
      <alignment vertical="center" wrapText="1"/>
    </xf>
    <xf numFmtId="168" fontId="21" fillId="0" borderId="30" xfId="39" applyNumberFormat="1" applyFont="1" applyBorder="1" applyAlignment="1">
      <alignment vertical="center" wrapText="1"/>
    </xf>
    <xf numFmtId="168" fontId="21" fillId="0" borderId="24" xfId="39" applyNumberFormat="1" applyFont="1" applyBorder="1" applyAlignment="1">
      <alignment vertical="center" wrapText="1"/>
    </xf>
    <xf numFmtId="168" fontId="21" fillId="0" borderId="22" xfId="39" applyNumberFormat="1" applyFont="1" applyBorder="1" applyAlignment="1">
      <alignment vertical="center" wrapText="1"/>
    </xf>
    <xf numFmtId="168" fontId="21" fillId="0" borderId="23" xfId="0" applyNumberFormat="1" applyFont="1" applyBorder="1" applyAlignment="1">
      <alignment vertical="center" wrapText="1"/>
    </xf>
    <xf numFmtId="168" fontId="21" fillId="0" borderId="24" xfId="0" applyNumberFormat="1" applyFont="1" applyBorder="1" applyAlignment="1">
      <alignment vertical="center" wrapText="1"/>
    </xf>
    <xf numFmtId="0" fontId="21" fillId="0" borderId="24" xfId="0" applyFont="1" applyBorder="1" applyAlignment="1">
      <alignment vertical="center" wrapText="1"/>
    </xf>
    <xf numFmtId="0" fontId="21" fillId="0" borderId="39" xfId="0" applyFont="1" applyBorder="1" applyAlignment="1">
      <alignment vertical="center" wrapText="1"/>
    </xf>
    <xf numFmtId="0" fontId="21" fillId="0" borderId="30" xfId="0" applyFont="1" applyBorder="1" applyAlignment="1">
      <alignment vertical="center" wrapText="1"/>
    </xf>
    <xf numFmtId="0" fontId="12" fillId="0" borderId="52" xfId="0" applyFont="1" applyBorder="1" applyAlignment="1">
      <alignment vertical="center" wrapText="1"/>
    </xf>
    <xf numFmtId="168" fontId="13" fillId="0" borderId="72" xfId="39" applyNumberFormat="1" applyFont="1" applyBorder="1" applyAlignment="1">
      <alignment vertical="center" wrapText="1"/>
    </xf>
    <xf numFmtId="168" fontId="13" fillId="0" borderId="85" xfId="39" applyNumberFormat="1" applyFont="1" applyBorder="1" applyAlignment="1">
      <alignment vertical="center" wrapText="1"/>
    </xf>
    <xf numFmtId="168" fontId="13" fillId="0" borderId="82" xfId="39" applyNumberFormat="1" applyFont="1" applyBorder="1" applyAlignment="1">
      <alignment vertical="center" wrapText="1"/>
    </xf>
    <xf numFmtId="164" fontId="13" fillId="0" borderId="72" xfId="39" applyNumberFormat="1" applyFont="1" applyBorder="1" applyAlignment="1">
      <alignment vertical="center" wrapText="1"/>
    </xf>
    <xf numFmtId="164" fontId="13" fillId="0" borderId="85" xfId="39" applyNumberFormat="1" applyFont="1" applyBorder="1" applyAlignment="1">
      <alignment vertical="center" wrapText="1"/>
    </xf>
    <xf numFmtId="164" fontId="13" fillId="0" borderId="37" xfId="39" applyNumberFormat="1" applyFont="1" applyBorder="1" applyAlignment="1">
      <alignment vertical="center" wrapText="1"/>
    </xf>
    <xf numFmtId="164" fontId="13" fillId="0" borderId="33" xfId="39" applyNumberFormat="1" applyFont="1" applyBorder="1" applyAlignment="1">
      <alignment vertical="center" wrapText="1"/>
    </xf>
    <xf numFmtId="164" fontId="13" fillId="0" borderId="38" xfId="39" applyNumberFormat="1" applyFont="1" applyBorder="1" applyAlignment="1">
      <alignment vertical="center" wrapText="1"/>
    </xf>
    <xf numFmtId="164" fontId="13" fillId="0" borderId="75" xfId="39" applyNumberFormat="1" applyFont="1" applyBorder="1" applyAlignment="1">
      <alignment vertical="center" wrapText="1"/>
    </xf>
    <xf numFmtId="164" fontId="13" fillId="0" borderId="84" xfId="39" applyNumberFormat="1" applyFont="1" applyBorder="1" applyAlignment="1">
      <alignment vertical="center" wrapText="1"/>
    </xf>
    <xf numFmtId="168" fontId="13" fillId="0" borderId="37" xfId="0" applyNumberFormat="1" applyFont="1" applyBorder="1" applyAlignment="1">
      <alignment vertical="center" wrapText="1"/>
    </xf>
    <xf numFmtId="168" fontId="13" fillId="0" borderId="33" xfId="0" applyNumberFormat="1" applyFont="1" applyBorder="1" applyAlignment="1">
      <alignment vertical="center" wrapText="1"/>
    </xf>
    <xf numFmtId="0" fontId="13" fillId="0" borderId="33" xfId="0" applyFont="1" applyBorder="1" applyAlignment="1">
      <alignment vertical="center" wrapText="1"/>
    </xf>
    <xf numFmtId="0" fontId="13" fillId="0" borderId="38" xfId="0" applyFont="1" applyBorder="1" applyAlignment="1">
      <alignment vertical="center" wrapText="1"/>
    </xf>
    <xf numFmtId="0" fontId="13" fillId="0" borderId="37" xfId="0" applyFont="1" applyBorder="1" applyAlignment="1">
      <alignment vertical="center" wrapText="1"/>
    </xf>
    <xf numFmtId="168" fontId="21" fillId="0" borderId="39" xfId="39" applyNumberFormat="1" applyFont="1" applyBorder="1" applyAlignment="1">
      <alignment vertical="center" wrapText="1"/>
    </xf>
    <xf numFmtId="168" fontId="21" fillId="0" borderId="30" xfId="0" applyNumberFormat="1" applyFont="1" applyBorder="1" applyAlignment="1">
      <alignment vertical="center" wrapText="1"/>
    </xf>
    <xf numFmtId="0" fontId="12" fillId="0" borderId="3" xfId="0" applyFont="1" applyBorder="1" applyAlignment="1">
      <alignment vertical="center" wrapText="1"/>
    </xf>
    <xf numFmtId="168" fontId="12" fillId="0" borderId="1" xfId="39" applyNumberFormat="1" applyFont="1" applyBorder="1" applyAlignment="1">
      <alignment vertical="center" wrapText="1"/>
    </xf>
    <xf numFmtId="168" fontId="12" fillId="0" borderId="16" xfId="39" applyNumberFormat="1" applyFont="1" applyBorder="1" applyAlignment="1">
      <alignment vertical="center" wrapText="1"/>
    </xf>
    <xf numFmtId="168" fontId="12" fillId="0" borderId="17" xfId="39" applyNumberFormat="1" applyFont="1" applyBorder="1" applyAlignment="1">
      <alignment vertical="center" wrapText="1"/>
    </xf>
    <xf numFmtId="164" fontId="12" fillId="0" borderId="16" xfId="39" applyNumberFormat="1" applyFont="1" applyBorder="1" applyAlignment="1">
      <alignment vertical="center" wrapText="1"/>
    </xf>
    <xf numFmtId="164" fontId="12" fillId="0" borderId="17" xfId="39" applyNumberFormat="1" applyFont="1" applyBorder="1" applyAlignment="1">
      <alignment vertical="center" wrapText="1"/>
    </xf>
    <xf numFmtId="168" fontId="12" fillId="0" borderId="1" xfId="0" applyNumberFormat="1" applyFont="1" applyBorder="1" applyAlignment="1">
      <alignment vertical="center" wrapText="1"/>
    </xf>
    <xf numFmtId="168" fontId="12" fillId="0" borderId="16" xfId="0" applyNumberFormat="1"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 xfId="0" applyFont="1" applyBorder="1" applyAlignment="1">
      <alignment vertical="center" wrapText="1"/>
    </xf>
    <xf numFmtId="0" fontId="83" fillId="0" borderId="0" xfId="0" applyFont="1"/>
    <xf numFmtId="0" fontId="12" fillId="0" borderId="6" xfId="0" applyFont="1" applyBorder="1" applyAlignment="1">
      <alignment vertical="center" wrapText="1"/>
    </xf>
    <xf numFmtId="168" fontId="12" fillId="0" borderId="4" xfId="39" applyNumberFormat="1" applyFont="1" applyBorder="1" applyAlignment="1">
      <alignment vertical="center" wrapText="1"/>
    </xf>
    <xf numFmtId="168" fontId="12" fillId="0" borderId="9" xfId="39" applyNumberFormat="1" applyFont="1" applyBorder="1" applyAlignment="1">
      <alignment vertical="center" wrapText="1"/>
    </xf>
    <xf numFmtId="168" fontId="12" fillId="0" borderId="19" xfId="39" applyNumberFormat="1" applyFont="1" applyBorder="1" applyAlignment="1">
      <alignment vertical="center" wrapText="1"/>
    </xf>
    <xf numFmtId="164" fontId="12" fillId="0" borderId="9" xfId="39" applyNumberFormat="1" applyFont="1" applyBorder="1" applyAlignment="1">
      <alignment vertical="center" wrapText="1"/>
    </xf>
    <xf numFmtId="164" fontId="12" fillId="0" borderId="19" xfId="39" applyNumberFormat="1" applyFont="1" applyBorder="1" applyAlignment="1">
      <alignment vertical="center" wrapText="1"/>
    </xf>
    <xf numFmtId="168" fontId="12" fillId="0" borderId="4" xfId="0" applyNumberFormat="1" applyFont="1" applyBorder="1" applyAlignment="1">
      <alignment vertical="center" wrapText="1"/>
    </xf>
    <xf numFmtId="168" fontId="12" fillId="0" borderId="9" xfId="0" applyNumberFormat="1" applyFont="1" applyBorder="1" applyAlignment="1">
      <alignment vertical="center" wrapText="1"/>
    </xf>
    <xf numFmtId="0" fontId="12" fillId="0" borderId="19" xfId="0" applyFont="1" applyBorder="1" applyAlignment="1">
      <alignment vertical="center" wrapText="1"/>
    </xf>
    <xf numFmtId="0" fontId="12" fillId="0" borderId="4" xfId="0" applyFont="1" applyBorder="1" applyAlignment="1">
      <alignment vertical="center" wrapText="1"/>
    </xf>
    <xf numFmtId="0" fontId="12" fillId="0" borderId="6" xfId="0" quotePrefix="1" applyFont="1" applyFill="1" applyBorder="1" applyAlignment="1">
      <alignment horizontal="left" vertical="center" wrapText="1"/>
    </xf>
    <xf numFmtId="0" fontId="12" fillId="0" borderId="81" xfId="0" quotePrefix="1" applyFont="1" applyFill="1" applyBorder="1" applyAlignment="1">
      <alignment horizontal="left" vertical="center" wrapText="1"/>
    </xf>
    <xf numFmtId="168" fontId="12" fillId="0" borderId="7" xfId="39" applyNumberFormat="1" applyFont="1" applyBorder="1" applyAlignment="1">
      <alignment vertical="center" wrapText="1"/>
    </xf>
    <xf numFmtId="168" fontId="12" fillId="0" borderId="21" xfId="39" applyNumberFormat="1" applyFont="1" applyBorder="1" applyAlignment="1">
      <alignment vertical="center" wrapText="1"/>
    </xf>
    <xf numFmtId="168" fontId="12" fillId="0" borderId="20" xfId="39" applyNumberFormat="1" applyFont="1" applyBorder="1" applyAlignment="1">
      <alignment vertical="center" wrapText="1"/>
    </xf>
    <xf numFmtId="164" fontId="12" fillId="0" borderId="21" xfId="39" applyNumberFormat="1" applyFont="1" applyBorder="1" applyAlignment="1">
      <alignment vertical="center" wrapText="1"/>
    </xf>
    <xf numFmtId="164" fontId="12" fillId="0" borderId="20" xfId="39" applyNumberFormat="1" applyFont="1" applyBorder="1" applyAlignment="1">
      <alignment vertical="center" wrapText="1"/>
    </xf>
    <xf numFmtId="0" fontId="12" fillId="0" borderId="7"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13" fillId="2" borderId="11" xfId="0" applyFont="1" applyFill="1" applyBorder="1" applyAlignment="1">
      <alignment horizontal="center" vertical="center" textRotation="90" wrapText="1"/>
    </xf>
    <xf numFmtId="0" fontId="25" fillId="41" borderId="65" xfId="0" applyFont="1" applyFill="1" applyBorder="1" applyAlignment="1">
      <alignment horizontal="center" vertical="center" wrapText="1"/>
    </xf>
    <xf numFmtId="0" fontId="25" fillId="41" borderId="76" xfId="0" applyFont="1" applyFill="1" applyBorder="1" applyAlignment="1">
      <alignment horizontal="center" vertical="center" wrapText="1"/>
    </xf>
    <xf numFmtId="0" fontId="25" fillId="41" borderId="33" xfId="0" applyFont="1" applyFill="1" applyBorder="1" applyAlignment="1">
      <alignment horizontal="center" vertical="center" wrapText="1"/>
    </xf>
    <xf numFmtId="0" fontId="24" fillId="0" borderId="16" xfId="0" applyFont="1" applyFill="1" applyBorder="1" applyAlignment="1">
      <alignment vertical="center" wrapText="1"/>
    </xf>
    <xf numFmtId="168" fontId="21" fillId="0" borderId="16" xfId="39" applyNumberFormat="1" applyFont="1" applyBorder="1" applyAlignment="1">
      <alignmen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9" xfId="0" applyFont="1" applyBorder="1" applyAlignment="1">
      <alignment horizontal="center" vertical="center" wrapText="1"/>
    </xf>
    <xf numFmtId="43" fontId="13" fillId="0" borderId="21" xfId="39" applyNumberFormat="1" applyFont="1" applyBorder="1" applyAlignment="1">
      <alignment vertical="center" wrapText="1"/>
    </xf>
    <xf numFmtId="0" fontId="13" fillId="0" borderId="21" xfId="0" applyFont="1" applyBorder="1" applyAlignment="1">
      <alignment horizontal="center" vertical="center" wrapText="1"/>
    </xf>
    <xf numFmtId="0" fontId="13" fillId="0" borderId="20" xfId="0" applyFont="1" applyBorder="1" applyAlignment="1">
      <alignment horizontal="center" vertical="center" wrapText="1"/>
    </xf>
    <xf numFmtId="0" fontId="12" fillId="0" borderId="12" xfId="0" applyFont="1" applyBorder="1" applyAlignment="1">
      <alignment vertical="center" wrapText="1"/>
    </xf>
    <xf numFmtId="0" fontId="13" fillId="0" borderId="12" xfId="0" applyFont="1" applyBorder="1" applyAlignment="1">
      <alignment horizontal="center" vertical="center" wrapText="1"/>
    </xf>
    <xf numFmtId="168" fontId="13" fillId="0" borderId="16" xfId="39" applyNumberFormat="1" applyFont="1" applyBorder="1" applyAlignment="1">
      <alignment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84" fillId="0" borderId="0" xfId="0" applyFont="1" applyAlignment="1">
      <alignment vertical="center"/>
    </xf>
    <xf numFmtId="164" fontId="84" fillId="0" borderId="0" xfId="0" applyNumberFormat="1" applyFont="1" applyAlignment="1">
      <alignment vertical="center"/>
    </xf>
    <xf numFmtId="0" fontId="84" fillId="0" borderId="0" xfId="0" applyFont="1" applyAlignment="1">
      <alignment horizontal="center" vertical="center"/>
    </xf>
    <xf numFmtId="0" fontId="13" fillId="2" borderId="28" xfId="0" applyFont="1" applyFill="1" applyBorder="1" applyAlignment="1">
      <alignment vertical="center" wrapText="1"/>
    </xf>
    <xf numFmtId="0" fontId="13" fillId="2" borderId="11" xfId="0" applyFont="1" applyFill="1" applyBorder="1" applyAlignment="1">
      <alignment vertical="center" wrapText="1"/>
    </xf>
    <xf numFmtId="0" fontId="13" fillId="2" borderId="14" xfId="0" applyFont="1" applyFill="1" applyBorder="1" applyAlignment="1">
      <alignment vertical="center" wrapText="1"/>
    </xf>
    <xf numFmtId="0" fontId="13" fillId="2" borderId="31" xfId="0" applyFont="1" applyFill="1" applyBorder="1" applyAlignment="1">
      <alignment vertical="center" wrapText="1"/>
    </xf>
    <xf numFmtId="0" fontId="13" fillId="2" borderId="12" xfId="0" applyFont="1" applyFill="1" applyBorder="1" applyAlignment="1">
      <alignment vertical="center" wrapText="1"/>
    </xf>
    <xf numFmtId="0" fontId="13" fillId="2" borderId="83" xfId="0" applyFont="1" applyFill="1" applyBorder="1" applyAlignment="1">
      <alignment vertical="center" wrapText="1"/>
    </xf>
    <xf numFmtId="164" fontId="13" fillId="2" borderId="31" xfId="0" applyNumberFormat="1" applyFont="1" applyFill="1" applyBorder="1" applyAlignment="1">
      <alignment vertical="center" wrapText="1"/>
    </xf>
    <xf numFmtId="164" fontId="13" fillId="2" borderId="12" xfId="0" applyNumberFormat="1" applyFont="1" applyFill="1" applyBorder="1" applyAlignment="1">
      <alignment vertical="center" wrapText="1"/>
    </xf>
    <xf numFmtId="164" fontId="13" fillId="2" borderId="83" xfId="0" applyNumberFormat="1" applyFont="1" applyFill="1" applyBorder="1" applyAlignment="1">
      <alignment vertical="center" wrapText="1"/>
    </xf>
    <xf numFmtId="0" fontId="13" fillId="2" borderId="28" xfId="0" applyFont="1" applyFill="1" applyBorder="1" applyAlignment="1">
      <alignment horizontal="center" vertical="center" wrapText="1"/>
    </xf>
    <xf numFmtId="0" fontId="13" fillId="2" borderId="18" xfId="0" applyFont="1" applyFill="1" applyBorder="1" applyAlignment="1">
      <alignment horizontal="center" vertical="center" wrapText="1"/>
    </xf>
    <xf numFmtId="164" fontId="22" fillId="40" borderId="37" xfId="39" applyNumberFormat="1" applyFont="1" applyFill="1" applyBorder="1" applyAlignment="1">
      <alignment vertical="center" wrapText="1"/>
    </xf>
    <xf numFmtId="164" fontId="22" fillId="40" borderId="33" xfId="39" applyNumberFormat="1" applyFont="1" applyFill="1" applyBorder="1" applyAlignment="1">
      <alignment vertical="center" wrapText="1"/>
    </xf>
    <xf numFmtId="164" fontId="22" fillId="40" borderId="38" xfId="39" applyNumberFormat="1" applyFont="1" applyFill="1" applyBorder="1" applyAlignment="1">
      <alignment vertical="center" wrapText="1"/>
    </xf>
    <xf numFmtId="168" fontId="28" fillId="40" borderId="28" xfId="39" applyNumberFormat="1" applyFont="1" applyFill="1" applyBorder="1" applyAlignment="1">
      <alignment horizontal="center" vertical="center" wrapText="1"/>
    </xf>
    <xf numFmtId="168" fontId="28" fillId="40" borderId="11" xfId="39" applyNumberFormat="1" applyFont="1" applyFill="1" applyBorder="1" applyAlignment="1">
      <alignment horizontal="center" vertical="center" wrapText="1"/>
    </xf>
    <xf numFmtId="168" fontId="28" fillId="40" borderId="18" xfId="39" applyNumberFormat="1" applyFont="1" applyFill="1" applyBorder="1" applyAlignment="1">
      <alignment horizontal="center" vertical="center" wrapText="1"/>
    </xf>
    <xf numFmtId="0" fontId="49" fillId="40" borderId="0" xfId="0" applyFont="1" applyFill="1" applyAlignment="1">
      <alignment vertical="center" wrapText="1"/>
    </xf>
    <xf numFmtId="0" fontId="10" fillId="40" borderId="0" xfId="0" applyFont="1" applyFill="1"/>
    <xf numFmtId="0" fontId="24" fillId="0" borderId="2" xfId="0" applyFont="1" applyFill="1" applyBorder="1" applyAlignment="1">
      <alignment vertical="center" wrapText="1"/>
    </xf>
    <xf numFmtId="164" fontId="13" fillId="0" borderId="29" xfId="39" applyNumberFormat="1" applyFont="1" applyFill="1" applyBorder="1" applyAlignment="1">
      <alignment vertical="center" wrapText="1"/>
    </xf>
    <xf numFmtId="164" fontId="13" fillId="0" borderId="13" xfId="39" applyNumberFormat="1" applyFont="1" applyFill="1" applyBorder="1" applyAlignment="1">
      <alignment vertical="center" wrapText="1"/>
    </xf>
    <xf numFmtId="164" fontId="13" fillId="0" borderId="71" xfId="39" applyNumberFormat="1" applyFont="1" applyFill="1" applyBorder="1" applyAlignment="1">
      <alignment vertical="center" wrapText="1"/>
    </xf>
    <xf numFmtId="164" fontId="13" fillId="0" borderId="1" xfId="39" applyNumberFormat="1" applyFont="1" applyFill="1" applyBorder="1" applyAlignment="1">
      <alignment vertical="center" wrapText="1"/>
    </xf>
    <xf numFmtId="164" fontId="13" fillId="0" borderId="16" xfId="39" applyNumberFormat="1" applyFont="1" applyFill="1" applyBorder="1" applyAlignment="1">
      <alignment vertical="center" wrapText="1"/>
    </xf>
    <xf numFmtId="164" fontId="13" fillId="0" borderId="17" xfId="39" applyNumberFormat="1" applyFont="1" applyFill="1" applyBorder="1" applyAlignment="1">
      <alignment vertical="center" wrapText="1"/>
    </xf>
    <xf numFmtId="168" fontId="13" fillId="0" borderId="1" xfId="39" applyNumberFormat="1" applyFont="1" applyFill="1" applyBorder="1" applyAlignment="1">
      <alignment horizontal="center" vertical="center" wrapText="1"/>
    </xf>
    <xf numFmtId="168" fontId="13" fillId="0" borderId="16" xfId="39" applyNumberFormat="1" applyFont="1" applyFill="1" applyBorder="1" applyAlignment="1">
      <alignment horizontal="center" vertical="center" wrapText="1"/>
    </xf>
    <xf numFmtId="168" fontId="13" fillId="0" borderId="17" xfId="39" applyNumberFormat="1" applyFont="1" applyFill="1" applyBorder="1" applyAlignment="1">
      <alignment horizontal="center" vertical="center" wrapText="1"/>
    </xf>
    <xf numFmtId="0" fontId="49" fillId="0" borderId="0" xfId="0" applyFont="1" applyFill="1" applyAlignment="1">
      <alignment vertical="center" wrapText="1"/>
    </xf>
    <xf numFmtId="0" fontId="12" fillId="0" borderId="8" xfId="0" applyFont="1" applyFill="1" applyBorder="1" applyAlignment="1">
      <alignment vertical="center" wrapText="1"/>
    </xf>
    <xf numFmtId="164" fontId="13" fillId="0" borderId="7" xfId="39" applyNumberFormat="1" applyFont="1" applyFill="1" applyBorder="1" applyAlignment="1">
      <alignment vertical="center" wrapText="1"/>
    </xf>
    <xf numFmtId="164" fontId="13" fillId="0" borderId="21" xfId="39" applyNumberFormat="1" applyFont="1" applyFill="1" applyBorder="1" applyAlignment="1">
      <alignment vertical="center" wrapText="1"/>
    </xf>
    <xf numFmtId="164" fontId="13" fillId="0" borderId="20" xfId="39" applyNumberFormat="1" applyFont="1" applyFill="1" applyBorder="1" applyAlignment="1">
      <alignment vertical="center" wrapText="1"/>
    </xf>
    <xf numFmtId="168" fontId="13" fillId="0" borderId="7" xfId="39" applyNumberFormat="1" applyFont="1" applyFill="1" applyBorder="1" applyAlignment="1">
      <alignment horizontal="center" vertical="center" wrapText="1"/>
    </xf>
    <xf numFmtId="168" fontId="13" fillId="0" borderId="21" xfId="39" applyNumberFormat="1" applyFont="1" applyFill="1" applyBorder="1" applyAlignment="1">
      <alignment horizontal="center" vertical="center" wrapText="1"/>
    </xf>
    <xf numFmtId="168" fontId="13" fillId="0" borderId="20" xfId="39"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5" xfId="0" applyFont="1" applyFill="1" applyBorder="1" applyAlignment="1">
      <alignment vertical="center" wrapText="1"/>
    </xf>
    <xf numFmtId="164" fontId="13" fillId="0" borderId="31" xfId="39" applyNumberFormat="1" applyFont="1" applyFill="1" applyBorder="1" applyAlignment="1">
      <alignment vertical="center" wrapText="1"/>
    </xf>
    <xf numFmtId="164" fontId="13" fillId="0" borderId="12" xfId="39" applyNumberFormat="1" applyFont="1" applyFill="1" applyBorder="1" applyAlignment="1">
      <alignment vertical="center" wrapText="1"/>
    </xf>
    <xf numFmtId="164" fontId="13" fillId="0" borderId="83" xfId="39" applyNumberFormat="1" applyFont="1" applyFill="1" applyBorder="1" applyAlignment="1">
      <alignment vertical="center" wrapText="1"/>
    </xf>
    <xf numFmtId="168" fontId="13" fillId="0" borderId="31" xfId="39" applyNumberFormat="1" applyFont="1" applyFill="1" applyBorder="1" applyAlignment="1">
      <alignment horizontal="center" vertical="center" wrapText="1"/>
    </xf>
    <xf numFmtId="168" fontId="13" fillId="0" borderId="12" xfId="39" applyNumberFormat="1" applyFont="1" applyFill="1" applyBorder="1" applyAlignment="1">
      <alignment horizontal="center" vertical="center" wrapText="1"/>
    </xf>
    <xf numFmtId="168" fontId="13" fillId="0" borderId="83" xfId="39" applyNumberFormat="1" applyFont="1" applyFill="1" applyBorder="1" applyAlignment="1">
      <alignment horizontal="center" vertical="center" wrapText="1"/>
    </xf>
    <xf numFmtId="0" fontId="12" fillId="0" borderId="5" xfId="0" applyFont="1" applyBorder="1" applyAlignment="1">
      <alignment vertical="center" wrapText="1"/>
    </xf>
    <xf numFmtId="168" fontId="13" fillId="0" borderId="4" xfId="39" applyNumberFormat="1" applyFont="1" applyBorder="1" applyAlignment="1">
      <alignment horizontal="center" vertical="center" wrapText="1"/>
    </xf>
    <xf numFmtId="168" fontId="13" fillId="0" borderId="9" xfId="39" applyNumberFormat="1" applyFont="1" applyBorder="1" applyAlignment="1">
      <alignment horizontal="center" vertical="center" wrapText="1"/>
    </xf>
    <xf numFmtId="168" fontId="13" fillId="0" borderId="19" xfId="39"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8" xfId="0" applyFont="1" applyBorder="1" applyAlignment="1">
      <alignment vertical="center" wrapText="1"/>
    </xf>
    <xf numFmtId="164" fontId="13" fillId="0" borderId="7" xfId="39" applyNumberFormat="1" applyFont="1" applyBorder="1" applyAlignment="1">
      <alignment vertical="center" wrapText="1"/>
    </xf>
    <xf numFmtId="168" fontId="13" fillId="0" borderId="7" xfId="39" applyNumberFormat="1" applyFont="1" applyBorder="1" applyAlignment="1">
      <alignment horizontal="center" vertical="center" wrapText="1"/>
    </xf>
    <xf numFmtId="168" fontId="13" fillId="0" borderId="21" xfId="39" applyNumberFormat="1" applyFont="1" applyBorder="1" applyAlignment="1">
      <alignment horizontal="center" vertical="center" wrapText="1"/>
    </xf>
    <xf numFmtId="168" fontId="13" fillId="0" borderId="20" xfId="39" applyNumberFormat="1" applyFont="1" applyBorder="1" applyAlignment="1">
      <alignment horizontal="center" vertical="center" wrapText="1"/>
    </xf>
    <xf numFmtId="168" fontId="13" fillId="0" borderId="72" xfId="39" applyNumberFormat="1" applyFont="1" applyBorder="1" applyAlignment="1">
      <alignment horizontal="center" vertical="center" wrapText="1"/>
    </xf>
    <xf numFmtId="168" fontId="13" fillId="0" borderId="85" xfId="39" applyNumberFormat="1" applyFont="1" applyBorder="1" applyAlignment="1">
      <alignment horizontal="center" vertical="center" wrapText="1"/>
    </xf>
    <xf numFmtId="168" fontId="13" fillId="0" borderId="84" xfId="39" applyNumberFormat="1" applyFont="1" applyBorder="1" applyAlignment="1">
      <alignment horizontal="center" vertical="center" wrapText="1"/>
    </xf>
    <xf numFmtId="0" fontId="80" fillId="0" borderId="0" xfId="0" applyFont="1" applyAlignment="1">
      <alignment horizontal="center" vertical="center"/>
    </xf>
    <xf numFmtId="0" fontId="13" fillId="2" borderId="29" xfId="0" applyFont="1" applyFill="1" applyBorder="1" applyAlignment="1">
      <alignment vertical="center" wrapText="1"/>
    </xf>
    <xf numFmtId="0" fontId="13" fillId="2" borderId="13" xfId="0" applyFont="1" applyFill="1" applyBorder="1" applyAlignment="1">
      <alignment vertical="center" wrapText="1"/>
    </xf>
    <xf numFmtId="0" fontId="13" fillId="2" borderId="71" xfId="0" applyFont="1" applyFill="1" applyBorder="1" applyAlignment="1">
      <alignment vertical="center" wrapText="1"/>
    </xf>
    <xf numFmtId="164" fontId="13" fillId="2" borderId="29" xfId="0" applyNumberFormat="1" applyFont="1" applyFill="1" applyBorder="1" applyAlignment="1">
      <alignment vertical="center" wrapText="1"/>
    </xf>
    <xf numFmtId="164" fontId="13" fillId="2" borderId="13" xfId="0" applyNumberFormat="1" applyFont="1" applyFill="1" applyBorder="1" applyAlignment="1">
      <alignment vertical="center" wrapText="1"/>
    </xf>
    <xf numFmtId="164" fontId="13" fillId="2" borderId="71" xfId="0" applyNumberFormat="1" applyFont="1" applyFill="1" applyBorder="1" applyAlignment="1">
      <alignment vertical="center" wrapText="1"/>
    </xf>
    <xf numFmtId="168" fontId="25" fillId="40" borderId="28" xfId="0" applyNumberFormat="1" applyFont="1" applyFill="1" applyBorder="1" applyAlignment="1">
      <alignment vertical="center" wrapText="1"/>
    </xf>
    <xf numFmtId="168" fontId="25" fillId="40" borderId="11" xfId="0" applyNumberFormat="1" applyFont="1" applyFill="1" applyBorder="1" applyAlignment="1">
      <alignment vertical="center" wrapText="1"/>
    </xf>
    <xf numFmtId="168" fontId="25" fillId="40" borderId="18" xfId="0" applyNumberFormat="1" applyFont="1" applyFill="1" applyBorder="1" applyAlignment="1">
      <alignment vertical="center" wrapText="1"/>
    </xf>
    <xf numFmtId="164" fontId="25" fillId="40" borderId="28" xfId="0" applyNumberFormat="1" applyFont="1" applyFill="1" applyBorder="1" applyAlignment="1">
      <alignment vertical="center" wrapText="1"/>
    </xf>
    <xf numFmtId="164" fontId="25" fillId="40" borderId="11" xfId="0" applyNumberFormat="1" applyFont="1" applyFill="1" applyBorder="1" applyAlignment="1">
      <alignment vertical="center" wrapText="1"/>
    </xf>
    <xf numFmtId="164" fontId="25" fillId="40" borderId="18" xfId="0" applyNumberFormat="1" applyFont="1" applyFill="1" applyBorder="1" applyAlignment="1">
      <alignment vertical="center" wrapText="1"/>
    </xf>
    <xf numFmtId="0" fontId="85" fillId="40" borderId="0" xfId="0" applyFont="1" applyFill="1" applyAlignment="1">
      <alignment vertical="center" wrapText="1"/>
    </xf>
    <xf numFmtId="0" fontId="82" fillId="40" borderId="0" xfId="0" applyFont="1" applyFill="1"/>
    <xf numFmtId="0" fontId="82" fillId="40" borderId="0" xfId="0" applyFont="1" applyFill="1" applyBorder="1"/>
    <xf numFmtId="0" fontId="82" fillId="40" borderId="0" xfId="0" applyFont="1" applyFill="1" applyBorder="1" applyAlignment="1">
      <alignment horizontal="center"/>
    </xf>
    <xf numFmtId="164" fontId="21" fillId="0" borderId="1" xfId="39" applyNumberFormat="1" applyFont="1" applyBorder="1" applyAlignment="1">
      <alignment vertical="center" wrapText="1"/>
    </xf>
    <xf numFmtId="164" fontId="21" fillId="0" borderId="16" xfId="39" applyNumberFormat="1" applyFont="1" applyBorder="1" applyAlignment="1">
      <alignment vertical="center" wrapText="1"/>
    </xf>
    <xf numFmtId="164" fontId="21" fillId="0" borderId="17" xfId="39" applyNumberFormat="1" applyFont="1" applyBorder="1" applyAlignment="1">
      <alignment vertical="center" wrapText="1"/>
    </xf>
    <xf numFmtId="168" fontId="21" fillId="0" borderId="0" xfId="39" applyNumberFormat="1" applyFont="1" applyBorder="1" applyAlignment="1">
      <alignment vertical="center" wrapText="1"/>
    </xf>
    <xf numFmtId="0" fontId="86" fillId="0" borderId="0" xfId="0" applyFont="1" applyBorder="1" applyAlignment="1">
      <alignment vertical="center" wrapText="1"/>
    </xf>
    <xf numFmtId="0" fontId="81" fillId="0" borderId="0" xfId="0" applyFont="1" applyBorder="1"/>
    <xf numFmtId="164" fontId="13" fillId="0" borderId="0" xfId="39" applyNumberFormat="1" applyFont="1" applyBorder="1" applyAlignment="1">
      <alignment vertical="center" wrapText="1"/>
    </xf>
    <xf numFmtId="168" fontId="13" fillId="0" borderId="0" xfId="39" applyNumberFormat="1" applyFont="1" applyBorder="1" applyAlignment="1">
      <alignment vertical="center" wrapText="1"/>
    </xf>
    <xf numFmtId="168" fontId="13" fillId="0" borderId="0" xfId="39" applyNumberFormat="1" applyFont="1" applyBorder="1" applyAlignment="1">
      <alignment horizontal="center" vertical="center" wrapText="1"/>
    </xf>
    <xf numFmtId="0" fontId="0" fillId="0" borderId="0" xfId="0" applyBorder="1"/>
    <xf numFmtId="43" fontId="13" fillId="0" borderId="0" xfId="39" applyNumberFormat="1" applyFont="1" applyBorder="1" applyAlignment="1">
      <alignment vertical="center" wrapText="1"/>
    </xf>
    <xf numFmtId="0" fontId="12" fillId="0" borderId="0" xfId="0" applyFont="1" applyBorder="1" applyAlignment="1">
      <alignment horizontal="center" vertical="center" wrapText="1"/>
    </xf>
    <xf numFmtId="0" fontId="12" fillId="0" borderId="70" xfId="0" applyFont="1" applyBorder="1" applyAlignment="1">
      <alignment vertical="center" wrapText="1"/>
    </xf>
    <xf numFmtId="164" fontId="13" fillId="0" borderId="31" xfId="39" applyNumberFormat="1" applyFont="1" applyBorder="1" applyAlignment="1">
      <alignment vertical="center" wrapText="1"/>
    </xf>
    <xf numFmtId="164" fontId="13" fillId="0" borderId="12" xfId="39" applyNumberFormat="1" applyFont="1" applyBorder="1" applyAlignment="1">
      <alignment vertical="center" wrapText="1"/>
    </xf>
    <xf numFmtId="164" fontId="13" fillId="0" borderId="83" xfId="39" applyNumberFormat="1" applyFont="1" applyBorder="1" applyAlignment="1">
      <alignment vertical="center" wrapText="1"/>
    </xf>
    <xf numFmtId="168" fontId="21" fillId="0" borderId="0" xfId="39" applyNumberFormat="1" applyFont="1" applyBorder="1" applyAlignment="1">
      <alignment horizontal="center" vertical="center" wrapText="1"/>
    </xf>
    <xf numFmtId="0" fontId="0" fillId="0" borderId="0" xfId="0" applyBorder="1" applyAlignment="1">
      <alignment horizontal="center"/>
    </xf>
    <xf numFmtId="0" fontId="9" fillId="0" borderId="0" xfId="2" applyAlignment="1" applyProtection="1">
      <alignment horizontal="center" vertical="center"/>
    </xf>
    <xf numFmtId="164" fontId="25" fillId="41" borderId="37" xfId="0" applyNumberFormat="1" applyFont="1" applyFill="1" applyBorder="1" applyAlignment="1">
      <alignment horizontal="center" vertical="center" wrapText="1"/>
    </xf>
    <xf numFmtId="164" fontId="25" fillId="41" borderId="33" xfId="0" applyNumberFormat="1" applyFont="1" applyFill="1" applyBorder="1" applyAlignment="1">
      <alignment horizontal="center" vertical="center" wrapText="1"/>
    </xf>
    <xf numFmtId="164" fontId="25" fillId="41" borderId="77" xfId="0" applyNumberFormat="1" applyFont="1" applyFill="1" applyBorder="1" applyAlignment="1">
      <alignment horizontal="center" vertical="center" wrapText="1"/>
    </xf>
    <xf numFmtId="164" fontId="25" fillId="41" borderId="38" xfId="0" applyNumberFormat="1" applyFont="1" applyFill="1" applyBorder="1" applyAlignment="1">
      <alignment horizontal="center" vertical="center" wrapText="1"/>
    </xf>
    <xf numFmtId="164" fontId="25" fillId="41" borderId="15" xfId="0" applyNumberFormat="1" applyFont="1" applyFill="1" applyBorder="1" applyAlignment="1">
      <alignment vertical="center" wrapText="1"/>
    </xf>
    <xf numFmtId="164" fontId="25" fillId="41" borderId="11" xfId="0" applyNumberFormat="1" applyFont="1" applyFill="1" applyBorder="1" applyAlignment="1">
      <alignment vertical="center" wrapText="1"/>
    </xf>
    <xf numFmtId="168" fontId="12" fillId="0" borderId="2" xfId="39" applyNumberFormat="1" applyFont="1" applyBorder="1" applyAlignment="1">
      <alignment vertical="center" wrapText="1"/>
    </xf>
    <xf numFmtId="168" fontId="12" fillId="0" borderId="5" xfId="39" applyNumberFormat="1" applyFont="1" applyBorder="1" applyAlignment="1">
      <alignment vertical="center" wrapText="1"/>
    </xf>
    <xf numFmtId="168" fontId="12" fillId="0" borderId="8" xfId="39" applyNumberFormat="1" applyFont="1" applyBorder="1" applyAlignment="1">
      <alignment vertical="center" wrapText="1"/>
    </xf>
    <xf numFmtId="168" fontId="12" fillId="0" borderId="26" xfId="39" applyNumberFormat="1" applyFont="1" applyBorder="1" applyAlignment="1">
      <alignment vertical="center" wrapText="1"/>
    </xf>
    <xf numFmtId="168" fontId="12" fillId="0" borderId="10" xfId="39" applyNumberFormat="1" applyFont="1" applyBorder="1" applyAlignment="1">
      <alignment vertical="center" wrapText="1"/>
    </xf>
    <xf numFmtId="168" fontId="12" fillId="0" borderId="27" xfId="39" applyNumberFormat="1" applyFont="1" applyBorder="1" applyAlignment="1">
      <alignment vertical="center" wrapText="1"/>
    </xf>
    <xf numFmtId="0" fontId="7" fillId="0" borderId="0" xfId="0" applyNumberFormat="1" applyFont="1" applyAlignment="1">
      <alignment vertical="center"/>
    </xf>
    <xf numFmtId="0" fontId="44" fillId="0" borderId="0" xfId="0" applyNumberFormat="1" applyFont="1"/>
    <xf numFmtId="0" fontId="37" fillId="2" borderId="4" xfId="0" applyFont="1" applyFill="1" applyBorder="1" applyAlignment="1">
      <alignment horizontal="center" vertical="center" wrapText="1"/>
    </xf>
    <xf numFmtId="0" fontId="51" fillId="0" borderId="0" xfId="0" applyFont="1" applyFill="1" applyAlignment="1">
      <alignment horizontal="left" vertical="center" wrapText="1"/>
    </xf>
    <xf numFmtId="0" fontId="87" fillId="4" borderId="0" xfId="0" applyFont="1" applyFill="1" applyBorder="1" applyAlignment="1">
      <alignment horizontal="left" vertical="top" wrapText="1"/>
    </xf>
    <xf numFmtId="165" fontId="87" fillId="4" borderId="0" xfId="0" applyNumberFormat="1" applyFont="1" applyFill="1" applyBorder="1" applyAlignment="1">
      <alignment horizontal="center" vertical="top" wrapText="1"/>
    </xf>
    <xf numFmtId="0" fontId="88" fillId="4" borderId="0" xfId="0" applyFont="1" applyFill="1" applyBorder="1" applyAlignment="1">
      <alignment horizontal="left" vertical="top" wrapText="1"/>
    </xf>
    <xf numFmtId="165" fontId="88" fillId="4" borderId="0" xfId="0" applyNumberFormat="1" applyFont="1" applyFill="1" applyBorder="1" applyAlignment="1">
      <alignment horizontal="center" vertical="top" wrapText="1"/>
    </xf>
    <xf numFmtId="0" fontId="88" fillId="4" borderId="0" xfId="0" applyFont="1" applyFill="1" applyBorder="1" applyAlignment="1">
      <alignment vertical="top" wrapText="1"/>
    </xf>
    <xf numFmtId="0" fontId="0" fillId="4" borderId="0" xfId="0" applyFill="1" applyBorder="1"/>
    <xf numFmtId="0" fontId="40" fillId="0" borderId="29" xfId="2" applyFont="1" applyBorder="1" applyAlignment="1">
      <alignment vertical="center" wrapText="1"/>
    </xf>
    <xf numFmtId="0" fontId="7" fillId="0" borderId="1" xfId="0" applyFont="1" applyFill="1" applyBorder="1" applyAlignment="1">
      <alignment vertical="top" wrapText="1"/>
    </xf>
    <xf numFmtId="0" fontId="7" fillId="4" borderId="29" xfId="0" applyFont="1" applyFill="1" applyBorder="1" applyAlignment="1">
      <alignment vertical="top" wrapText="1"/>
    </xf>
    <xf numFmtId="0" fontId="7" fillId="0" borderId="31" xfId="0" applyFont="1" applyFill="1" applyBorder="1" applyAlignment="1">
      <alignment vertical="top" wrapText="1"/>
    </xf>
    <xf numFmtId="0" fontId="37" fillId="0" borderId="7" xfId="0" applyFont="1" applyFill="1" applyBorder="1" applyAlignment="1">
      <alignment vertical="top" wrapText="1"/>
    </xf>
    <xf numFmtId="167" fontId="28" fillId="0" borderId="9" xfId="3" applyNumberFormat="1" applyFont="1" applyFill="1" applyBorder="1" applyAlignment="1">
      <alignment horizontal="center" vertical="top" wrapText="1"/>
    </xf>
    <xf numFmtId="167" fontId="44" fillId="0" borderId="0" xfId="0" applyNumberFormat="1" applyFont="1" applyAlignment="1">
      <alignment horizontal="center" vertical="top"/>
    </xf>
    <xf numFmtId="0" fontId="44" fillId="35" borderId="0" xfId="0" applyFont="1" applyFill="1" applyAlignment="1">
      <alignment vertical="center"/>
    </xf>
    <xf numFmtId="167" fontId="44" fillId="0" borderId="0" xfId="0" applyNumberFormat="1" applyFont="1" applyAlignment="1">
      <alignment horizontal="center" vertical="center"/>
    </xf>
    <xf numFmtId="0" fontId="44" fillId="0" borderId="0" xfId="0" applyFont="1" applyAlignment="1">
      <alignment vertical="center"/>
    </xf>
    <xf numFmtId="165" fontId="28" fillId="0" borderId="0" xfId="0" applyNumberFormat="1" applyFont="1" applyAlignment="1">
      <alignment horizontal="center" vertical="center"/>
    </xf>
    <xf numFmtId="165" fontId="28" fillId="0" borderId="0" xfId="0" applyNumberFormat="1" applyFont="1"/>
    <xf numFmtId="165" fontId="28" fillId="9" borderId="0" xfId="0" applyNumberFormat="1" applyFont="1" applyFill="1" applyAlignment="1">
      <alignment horizontal="center"/>
    </xf>
    <xf numFmtId="49" fontId="22" fillId="36" borderId="37" xfId="0" applyNumberFormat="1" applyFont="1" applyFill="1" applyBorder="1" applyAlignment="1">
      <alignment horizontal="center" vertical="center"/>
    </xf>
    <xf numFmtId="49" fontId="37" fillId="0" borderId="1" xfId="0" applyNumberFormat="1" applyFont="1" applyFill="1" applyBorder="1" applyAlignment="1">
      <alignment horizontal="center" vertical="center" wrapText="1"/>
    </xf>
    <xf numFmtId="49" fontId="37" fillId="0" borderId="7" xfId="0" applyNumberFormat="1" applyFont="1" applyFill="1" applyBorder="1" applyAlignment="1">
      <alignment horizontal="center" vertical="center" wrapText="1"/>
    </xf>
    <xf numFmtId="49" fontId="22" fillId="36" borderId="30" xfId="0" applyNumberFormat="1" applyFont="1" applyFill="1" applyBorder="1" applyAlignment="1">
      <alignment horizontal="center" vertical="center"/>
    </xf>
    <xf numFmtId="49" fontId="28" fillId="0" borderId="37" xfId="0" applyNumberFormat="1" applyFont="1" applyFill="1" applyBorder="1" applyAlignment="1">
      <alignment horizontal="center" vertical="center"/>
    </xf>
    <xf numFmtId="164" fontId="35" fillId="2" borderId="9" xfId="0" applyNumberFormat="1" applyFont="1" applyFill="1" applyBorder="1" applyAlignment="1">
      <alignment horizontal="center" vertical="center" wrapText="1"/>
    </xf>
    <xf numFmtId="164" fontId="39" fillId="2" borderId="9" xfId="0" applyNumberFormat="1" applyFont="1" applyFill="1" applyBorder="1" applyAlignment="1">
      <alignment horizontal="center" vertical="center" wrapText="1"/>
    </xf>
    <xf numFmtId="164" fontId="35" fillId="2" borderId="19" xfId="0" applyNumberFormat="1" applyFont="1" applyFill="1" applyBorder="1" applyAlignment="1">
      <alignment horizontal="center" vertical="center" wrapText="1"/>
    </xf>
    <xf numFmtId="164" fontId="7" fillId="36" borderId="13" xfId="0" applyNumberFormat="1" applyFont="1" applyFill="1" applyBorder="1" applyAlignment="1">
      <alignment horizontal="center" vertical="center" wrapText="1"/>
    </xf>
    <xf numFmtId="164" fontId="22" fillId="36" borderId="13" xfId="0" applyNumberFormat="1" applyFont="1" applyFill="1" applyBorder="1" applyAlignment="1">
      <alignment horizontal="center" vertical="center" wrapText="1"/>
    </xf>
    <xf numFmtId="164" fontId="7" fillId="36" borderId="71" xfId="0" applyNumberFormat="1" applyFont="1" applyFill="1" applyBorder="1" applyAlignment="1">
      <alignment horizontal="center" vertical="center" wrapText="1"/>
    </xf>
    <xf numFmtId="164" fontId="37" fillId="0" borderId="9" xfId="0" applyNumberFormat="1" applyFont="1" applyBorder="1" applyAlignment="1">
      <alignment horizontal="center" vertical="center" wrapText="1"/>
    </xf>
    <xf numFmtId="164" fontId="28" fillId="0" borderId="9" xfId="0" applyNumberFormat="1" applyFont="1" applyBorder="1" applyAlignment="1">
      <alignment horizontal="center" vertical="center" wrapText="1"/>
    </xf>
    <xf numFmtId="164" fontId="37" fillId="0" borderId="19" xfId="0" applyNumberFormat="1" applyFont="1" applyBorder="1" applyAlignment="1">
      <alignment horizontal="center" vertical="center" wrapText="1"/>
    </xf>
    <xf numFmtId="164" fontId="7" fillId="36" borderId="9" xfId="0" applyNumberFormat="1" applyFont="1" applyFill="1" applyBorder="1" applyAlignment="1">
      <alignment horizontal="center" vertical="center" wrapText="1"/>
    </xf>
    <xf numFmtId="164" fontId="22" fillId="36" borderId="9" xfId="0" applyNumberFormat="1" applyFont="1" applyFill="1" applyBorder="1" applyAlignment="1">
      <alignment horizontal="center" vertical="center" wrapText="1"/>
    </xf>
    <xf numFmtId="164" fontId="7" fillId="36" borderId="19" xfId="0" applyNumberFormat="1" applyFont="1" applyFill="1" applyBorder="1" applyAlignment="1">
      <alignment horizontal="center" vertical="center" wrapText="1"/>
    </xf>
    <xf numFmtId="164" fontId="37" fillId="0" borderId="21" xfId="0" applyNumberFormat="1" applyFont="1" applyBorder="1" applyAlignment="1">
      <alignment horizontal="center" vertical="center" wrapText="1"/>
    </xf>
    <xf numFmtId="164" fontId="28" fillId="0" borderId="21" xfId="0" applyNumberFormat="1" applyFont="1" applyBorder="1" applyAlignment="1">
      <alignment horizontal="center" vertical="center" wrapText="1"/>
    </xf>
    <xf numFmtId="164" fontId="37" fillId="0" borderId="20" xfId="0" applyNumberFormat="1" applyFont="1" applyBorder="1" applyAlignment="1">
      <alignment horizontal="center" vertical="center" wrapText="1"/>
    </xf>
    <xf numFmtId="164" fontId="22" fillId="36" borderId="76" xfId="0" applyNumberFormat="1" applyFont="1" applyFill="1" applyBorder="1" applyAlignment="1">
      <alignment horizontal="center" vertical="center" wrapText="1"/>
    </xf>
    <xf numFmtId="164" fontId="22" fillId="36" borderId="53" xfId="0" applyNumberFormat="1" applyFont="1" applyFill="1" applyBorder="1" applyAlignment="1">
      <alignment horizontal="center" vertical="center" wrapText="1"/>
    </xf>
    <xf numFmtId="164" fontId="28" fillId="0" borderId="26" xfId="0" applyNumberFormat="1" applyFont="1" applyBorder="1" applyAlignment="1">
      <alignment horizontal="center" vertical="center" wrapText="1"/>
    </xf>
    <xf numFmtId="164" fontId="28" fillId="0" borderId="74" xfId="0" applyNumberFormat="1" applyFont="1" applyBorder="1" applyAlignment="1">
      <alignment horizontal="center" vertical="center" wrapText="1"/>
    </xf>
    <xf numFmtId="164" fontId="28" fillId="0" borderId="10" xfId="0" applyNumberFormat="1" applyFont="1" applyBorder="1" applyAlignment="1">
      <alignment horizontal="center" vertical="center" wrapText="1"/>
    </xf>
    <xf numFmtId="164" fontId="28" fillId="0" borderId="78" xfId="0" applyNumberFormat="1" applyFont="1" applyBorder="1" applyAlignment="1">
      <alignment horizontal="center" vertical="center" wrapText="1"/>
    </xf>
    <xf numFmtId="164" fontId="28" fillId="0" borderId="27" xfId="0" applyNumberFormat="1" applyFont="1" applyBorder="1" applyAlignment="1">
      <alignment horizontal="center" vertical="center" wrapText="1"/>
    </xf>
    <xf numFmtId="164" fontId="28" fillId="0" borderId="79" xfId="0" applyNumberFormat="1" applyFont="1" applyBorder="1" applyAlignment="1">
      <alignment horizontal="center" vertical="center" wrapText="1"/>
    </xf>
    <xf numFmtId="164" fontId="28" fillId="0" borderId="75" xfId="0" applyNumberFormat="1" applyFont="1" applyBorder="1" applyAlignment="1">
      <alignment horizontal="center" vertical="center" wrapText="1"/>
    </xf>
    <xf numFmtId="164" fontId="28" fillId="0" borderId="64" xfId="0" applyNumberFormat="1" applyFont="1" applyBorder="1" applyAlignment="1">
      <alignment horizontal="center" vertical="center" wrapText="1"/>
    </xf>
    <xf numFmtId="164" fontId="22" fillId="36" borderId="51" xfId="0" applyNumberFormat="1" applyFont="1" applyFill="1" applyBorder="1" applyAlignment="1">
      <alignment horizontal="center" vertical="center" wrapText="1"/>
    </xf>
    <xf numFmtId="164" fontId="22" fillId="36" borderId="48" xfId="0" applyNumberFormat="1" applyFont="1" applyFill="1" applyBorder="1" applyAlignment="1">
      <alignment horizontal="center" vertical="center" wrapText="1"/>
    </xf>
    <xf numFmtId="164" fontId="37" fillId="0" borderId="33" xfId="0" applyNumberFormat="1" applyFont="1" applyFill="1" applyBorder="1" applyAlignment="1">
      <alignment horizontal="center" vertical="center" wrapText="1"/>
    </xf>
    <xf numFmtId="164" fontId="28" fillId="0" borderId="33" xfId="0" applyNumberFormat="1" applyFont="1" applyFill="1" applyBorder="1" applyAlignment="1">
      <alignment horizontal="center" vertical="center" wrapText="1"/>
    </xf>
    <xf numFmtId="164" fontId="37" fillId="0" borderId="38" xfId="0" applyNumberFormat="1" applyFont="1" applyFill="1" applyBorder="1" applyAlignment="1">
      <alignment horizontal="center" vertical="center" wrapText="1"/>
    </xf>
    <xf numFmtId="172" fontId="25" fillId="0" borderId="26" xfId="0" applyNumberFormat="1" applyFont="1" applyFill="1" applyBorder="1" applyAlignment="1">
      <alignment horizontal="center" vertical="center" wrapText="1"/>
    </xf>
    <xf numFmtId="172" fontId="25" fillId="0" borderId="16" xfId="0" applyNumberFormat="1" applyFont="1" applyFill="1" applyBorder="1" applyAlignment="1">
      <alignment horizontal="center" vertical="center" wrapText="1"/>
    </xf>
    <xf numFmtId="172" fontId="25" fillId="0" borderId="2" xfId="0" applyNumberFormat="1" applyFont="1" applyFill="1" applyBorder="1" applyAlignment="1">
      <alignment horizontal="center" vertical="center" wrapText="1"/>
    </xf>
    <xf numFmtId="172" fontId="25" fillId="0" borderId="1" xfId="0" applyNumberFormat="1" applyFont="1" applyFill="1" applyBorder="1" applyAlignment="1">
      <alignment horizontal="center" vertical="center" wrapText="1"/>
    </xf>
    <xf numFmtId="172" fontId="25" fillId="0" borderId="17" xfId="0" applyNumberFormat="1" applyFont="1" applyFill="1" applyBorder="1" applyAlignment="1">
      <alignment horizontal="center" vertical="center" wrapText="1"/>
    </xf>
    <xf numFmtId="172" fontId="25" fillId="36" borderId="10" xfId="0" applyNumberFormat="1" applyFont="1" applyFill="1" applyBorder="1" applyAlignment="1">
      <alignment horizontal="center" vertical="center" wrapText="1"/>
    </xf>
    <xf numFmtId="172" fontId="25" fillId="36" borderId="9" xfId="0" applyNumberFormat="1" applyFont="1" applyFill="1" applyBorder="1" applyAlignment="1">
      <alignment horizontal="center" vertical="center" wrapText="1"/>
    </xf>
    <xf numFmtId="172" fontId="25" fillId="36" borderId="5" xfId="0" applyNumberFormat="1" applyFont="1" applyFill="1" applyBorder="1" applyAlignment="1">
      <alignment horizontal="center" vertical="center" wrapText="1"/>
    </xf>
    <xf numFmtId="172" fontId="25" fillId="36" borderId="4" xfId="0" applyNumberFormat="1" applyFont="1" applyFill="1" applyBorder="1" applyAlignment="1">
      <alignment horizontal="center" vertical="center" wrapText="1"/>
    </xf>
    <xf numFmtId="172" fontId="25" fillId="36" borderId="19" xfId="0" applyNumberFormat="1" applyFont="1" applyFill="1" applyBorder="1" applyAlignment="1">
      <alignment horizontal="center" vertical="center" wrapText="1"/>
    </xf>
    <xf numFmtId="172" fontId="11" fillId="0" borderId="10" xfId="0" applyNumberFormat="1" applyFont="1" applyFill="1" applyBorder="1" applyAlignment="1">
      <alignment horizontal="center" vertical="center" wrapText="1"/>
    </xf>
    <xf numFmtId="172" fontId="11" fillId="0" borderId="9" xfId="1" applyNumberFormat="1" applyFont="1" applyFill="1" applyBorder="1" applyAlignment="1">
      <alignment horizontal="center" vertical="center" wrapText="1"/>
    </xf>
    <xf numFmtId="172" fontId="25" fillId="0" borderId="9" xfId="0" applyNumberFormat="1" applyFont="1" applyFill="1" applyBorder="1" applyAlignment="1">
      <alignment horizontal="center" vertical="center" wrapText="1"/>
    </xf>
    <xf numFmtId="172" fontId="25" fillId="0" borderId="5" xfId="0" applyNumberFormat="1" applyFont="1" applyFill="1" applyBorder="1" applyAlignment="1">
      <alignment horizontal="center" vertical="center" wrapText="1"/>
    </xf>
    <xf numFmtId="172" fontId="11" fillId="0" borderId="4" xfId="0" applyNumberFormat="1" applyFont="1" applyFill="1" applyBorder="1" applyAlignment="1">
      <alignment horizontal="center" vertical="center" wrapText="1"/>
    </xf>
    <xf numFmtId="172" fontId="25" fillId="0" borderId="19" xfId="0" applyNumberFormat="1" applyFont="1" applyFill="1" applyBorder="1" applyAlignment="1">
      <alignment horizontal="center" vertical="center" wrapText="1"/>
    </xf>
    <xf numFmtId="172" fontId="11" fillId="0" borderId="9" xfId="0" applyNumberFormat="1" applyFont="1" applyFill="1" applyBorder="1" applyAlignment="1">
      <alignment horizontal="center" vertical="center" wrapText="1"/>
    </xf>
    <xf numFmtId="172" fontId="25" fillId="0" borderId="4" xfId="0" applyNumberFormat="1" applyFont="1" applyFill="1" applyBorder="1" applyAlignment="1">
      <alignment horizontal="center" vertical="center" wrapText="1"/>
    </xf>
    <xf numFmtId="172" fontId="23" fillId="0" borderId="9" xfId="0" applyNumberFormat="1" applyFont="1" applyBorder="1" applyAlignment="1">
      <alignment vertical="center"/>
    </xf>
    <xf numFmtId="172" fontId="7" fillId="0" borderId="9" xfId="0" applyNumberFormat="1" applyFont="1" applyBorder="1" applyAlignment="1">
      <alignment vertical="center"/>
    </xf>
    <xf numFmtId="172" fontId="26" fillId="0" borderId="9" xfId="0" applyNumberFormat="1" applyFont="1" applyFill="1" applyBorder="1" applyAlignment="1">
      <alignment horizontal="center" vertical="top" wrapText="1"/>
    </xf>
    <xf numFmtId="172" fontId="37" fillId="0" borderId="9" xfId="0" applyNumberFormat="1" applyFont="1" applyBorder="1" applyAlignment="1">
      <alignment horizontal="center" vertical="center"/>
    </xf>
    <xf numFmtId="172" fontId="11" fillId="0" borderId="9" xfId="0" applyNumberFormat="1" applyFont="1" applyFill="1" applyBorder="1" applyAlignment="1">
      <alignment vertical="center" wrapText="1"/>
    </xf>
    <xf numFmtId="172" fontId="11" fillId="0" borderId="5" xfId="0" applyNumberFormat="1" applyFont="1" applyFill="1" applyBorder="1" applyAlignment="1">
      <alignment vertical="center" wrapText="1"/>
    </xf>
    <xf numFmtId="172" fontId="26" fillId="0" borderId="9" xfId="0" applyNumberFormat="1" applyFont="1" applyFill="1" applyBorder="1" applyAlignment="1">
      <alignment horizontal="center" vertical="center" wrapText="1"/>
    </xf>
    <xf numFmtId="172" fontId="11" fillId="0" borderId="9" xfId="0" applyNumberFormat="1" applyFont="1" applyFill="1" applyBorder="1" applyAlignment="1">
      <alignment horizontal="center" vertical="top" wrapText="1"/>
    </xf>
    <xf numFmtId="172" fontId="11" fillId="0" borderId="19" xfId="0" applyNumberFormat="1" applyFont="1" applyFill="1" applyBorder="1" applyAlignment="1">
      <alignment vertical="center" wrapText="1"/>
    </xf>
    <xf numFmtId="172" fontId="17" fillId="0" borderId="9" xfId="0" applyNumberFormat="1" applyFont="1" applyFill="1" applyBorder="1" applyAlignment="1">
      <alignment horizontal="center" vertical="center" wrapText="1"/>
    </xf>
    <xf numFmtId="172" fontId="13" fillId="0" borderId="9" xfId="0" applyNumberFormat="1" applyFont="1" applyFill="1" applyBorder="1" applyAlignment="1">
      <alignment vertical="center" wrapText="1"/>
    </xf>
    <xf numFmtId="172" fontId="13" fillId="0" borderId="5" xfId="0" applyNumberFormat="1" applyFont="1" applyFill="1" applyBorder="1" applyAlignment="1">
      <alignment vertical="center" wrapText="1"/>
    </xf>
    <xf numFmtId="172" fontId="28" fillId="0" borderId="9" xfId="0" applyNumberFormat="1" applyFont="1" applyFill="1" applyBorder="1" applyAlignment="1">
      <alignment horizontal="center" vertical="center" wrapText="1"/>
    </xf>
    <xf numFmtId="172" fontId="13" fillId="0" borderId="19" xfId="0" applyNumberFormat="1" applyFont="1" applyFill="1" applyBorder="1" applyAlignment="1">
      <alignment vertical="center" wrapText="1"/>
    </xf>
    <xf numFmtId="172" fontId="18" fillId="0" borderId="9" xfId="0" applyNumberFormat="1" applyFont="1" applyFill="1" applyBorder="1" applyAlignment="1">
      <alignment horizontal="center" vertical="center" wrapText="1"/>
    </xf>
    <xf numFmtId="172" fontId="18" fillId="0" borderId="5" xfId="0" applyNumberFormat="1" applyFont="1" applyFill="1" applyBorder="1" applyAlignment="1">
      <alignment horizontal="center" vertical="center" wrapText="1"/>
    </xf>
    <xf numFmtId="172" fontId="33" fillId="0" borderId="9" xfId="0" applyNumberFormat="1" applyFont="1" applyFill="1" applyBorder="1" applyAlignment="1">
      <alignment horizontal="center" vertical="center" wrapText="1"/>
    </xf>
    <xf numFmtId="172" fontId="33" fillId="0" borderId="19" xfId="0" applyNumberFormat="1" applyFont="1" applyFill="1" applyBorder="1" applyAlignment="1">
      <alignment horizontal="center" vertical="center" wrapText="1"/>
    </xf>
    <xf numFmtId="172" fontId="18" fillId="0" borderId="19" xfId="0" applyNumberFormat="1" applyFont="1" applyFill="1" applyBorder="1" applyAlignment="1">
      <alignment horizontal="center" vertical="center" wrapText="1"/>
    </xf>
    <xf numFmtId="172" fontId="13" fillId="0" borderId="9" xfId="0" applyNumberFormat="1" applyFont="1" applyFill="1" applyBorder="1" applyAlignment="1">
      <alignment horizontal="center" vertical="center" wrapText="1"/>
    </xf>
    <xf numFmtId="172" fontId="13" fillId="0" borderId="9" xfId="100" applyNumberFormat="1" applyFont="1" applyFill="1" applyBorder="1" applyAlignment="1">
      <alignment horizontal="center" vertical="center"/>
    </xf>
    <xf numFmtId="172" fontId="17" fillId="0" borderId="10" xfId="0" applyNumberFormat="1" applyFont="1" applyFill="1" applyBorder="1" applyAlignment="1">
      <alignment horizontal="center" vertical="center" wrapText="1"/>
    </xf>
    <xf numFmtId="172" fontId="28" fillId="0" borderId="9" xfId="0" applyNumberFormat="1" applyFont="1" applyFill="1" applyBorder="1" applyAlignment="1">
      <alignment horizontal="center" vertical="top" wrapText="1"/>
    </xf>
    <xf numFmtId="172" fontId="17" fillId="0" borderId="9" xfId="0" applyNumberFormat="1" applyFont="1" applyFill="1" applyBorder="1" applyAlignment="1">
      <alignment horizontal="center" vertical="top" wrapText="1"/>
    </xf>
    <xf numFmtId="172" fontId="13" fillId="0" borderId="5" xfId="0" applyNumberFormat="1" applyFont="1" applyFill="1" applyBorder="1" applyAlignment="1">
      <alignment horizontal="center" vertical="center" wrapText="1"/>
    </xf>
    <xf numFmtId="172" fontId="13" fillId="0" borderId="19" xfId="101" applyNumberFormat="1" applyFont="1" applyBorder="1" applyAlignment="1">
      <alignment horizontal="right" vertical="top"/>
    </xf>
    <xf numFmtId="172" fontId="13" fillId="0" borderId="9" xfId="100" applyNumberFormat="1" applyFont="1" applyBorder="1" applyAlignment="1">
      <alignment horizontal="right" vertical="top"/>
    </xf>
    <xf numFmtId="172" fontId="13" fillId="0" borderId="19" xfId="0" applyNumberFormat="1" applyFont="1" applyFill="1" applyBorder="1" applyAlignment="1">
      <alignment horizontal="center" vertical="center" wrapText="1"/>
    </xf>
    <xf numFmtId="172" fontId="28" fillId="0" borderId="9" xfId="0" applyNumberFormat="1" applyFont="1" applyBorder="1"/>
    <xf numFmtId="172" fontId="17" fillId="0" borderId="9" xfId="0" applyNumberFormat="1" applyFont="1" applyBorder="1"/>
    <xf numFmtId="172" fontId="77" fillId="36" borderId="9" xfId="0" applyNumberFormat="1" applyFont="1" applyFill="1" applyBorder="1" applyAlignment="1">
      <alignment horizontal="center" vertical="center" wrapText="1"/>
    </xf>
    <xf numFmtId="172" fontId="22" fillId="36" borderId="9" xfId="0" applyNumberFormat="1" applyFont="1" applyFill="1" applyBorder="1" applyAlignment="1">
      <alignment horizontal="center" vertical="center" wrapText="1"/>
    </xf>
    <xf numFmtId="172" fontId="22" fillId="36" borderId="19" xfId="0" applyNumberFormat="1" applyFont="1" applyFill="1" applyBorder="1" applyAlignment="1">
      <alignment horizontal="center" vertical="center" wrapText="1"/>
    </xf>
    <xf numFmtId="172" fontId="77" fillId="36" borderId="19" xfId="0" applyNumberFormat="1" applyFont="1" applyFill="1" applyBorder="1" applyAlignment="1">
      <alignment horizontal="center" vertical="center" wrapText="1"/>
    </xf>
    <xf numFmtId="172" fontId="19" fillId="0" borderId="9" xfId="0" applyNumberFormat="1" applyFont="1" applyFill="1" applyBorder="1" applyAlignment="1">
      <alignment horizontal="center" vertical="center" wrapText="1"/>
    </xf>
    <xf numFmtId="172" fontId="20" fillId="0" borderId="9" xfId="0" applyNumberFormat="1" applyFont="1" applyFill="1" applyBorder="1" applyAlignment="1">
      <alignment horizontal="center" vertical="center" wrapText="1"/>
    </xf>
    <xf numFmtId="172" fontId="20" fillId="0" borderId="5" xfId="0" applyNumberFormat="1" applyFont="1" applyFill="1" applyBorder="1" applyAlignment="1">
      <alignment horizontal="center" vertical="center" wrapText="1"/>
    </xf>
    <xf numFmtId="172" fontId="28" fillId="0" borderId="19" xfId="0" applyNumberFormat="1" applyFont="1" applyFill="1" applyBorder="1" applyAlignment="1">
      <alignment horizontal="center" vertical="center" wrapText="1"/>
    </xf>
    <xf numFmtId="172" fontId="20" fillId="0" borderId="19" xfId="0" applyNumberFormat="1" applyFont="1" applyFill="1" applyBorder="1" applyAlignment="1">
      <alignment horizontal="center" vertical="center" wrapText="1"/>
    </xf>
    <xf numFmtId="172" fontId="11" fillId="0" borderId="27" xfId="0" applyNumberFormat="1" applyFont="1" applyFill="1" applyBorder="1" applyAlignment="1">
      <alignment horizontal="center" vertical="center" wrapText="1"/>
    </xf>
    <xf numFmtId="172" fontId="19" fillId="0" borderId="21" xfId="0" applyNumberFormat="1" applyFont="1" applyFill="1" applyBorder="1" applyAlignment="1">
      <alignment horizontal="center" vertical="center" wrapText="1"/>
    </xf>
    <xf numFmtId="172" fontId="20" fillId="0" borderId="21" xfId="0" applyNumberFormat="1" applyFont="1" applyFill="1" applyBorder="1" applyAlignment="1">
      <alignment horizontal="center" vertical="center" wrapText="1"/>
    </xf>
    <xf numFmtId="172" fontId="20" fillId="0" borderId="8" xfId="0" applyNumberFormat="1" applyFont="1" applyFill="1" applyBorder="1" applyAlignment="1">
      <alignment horizontal="center" vertical="center" wrapText="1"/>
    </xf>
    <xf numFmtId="172" fontId="11" fillId="0" borderId="7" xfId="0" applyNumberFormat="1" applyFont="1" applyFill="1" applyBorder="1" applyAlignment="1">
      <alignment horizontal="center" vertical="center" wrapText="1"/>
    </xf>
    <xf numFmtId="172" fontId="33" fillId="0" borderId="21" xfId="0" applyNumberFormat="1" applyFont="1" applyFill="1" applyBorder="1" applyAlignment="1">
      <alignment horizontal="center" vertical="center" wrapText="1"/>
    </xf>
    <xf numFmtId="172" fontId="28" fillId="0" borderId="21" xfId="0" applyNumberFormat="1" applyFont="1" applyFill="1" applyBorder="1" applyAlignment="1">
      <alignment horizontal="center" vertical="center" wrapText="1"/>
    </xf>
    <xf numFmtId="172" fontId="28" fillId="0" borderId="20" xfId="0" applyNumberFormat="1" applyFont="1" applyFill="1" applyBorder="1" applyAlignment="1">
      <alignment horizontal="center" vertical="center" wrapText="1"/>
    </xf>
    <xf numFmtId="172" fontId="20" fillId="0" borderId="20" xfId="0" applyNumberFormat="1" applyFont="1" applyFill="1" applyBorder="1" applyAlignment="1">
      <alignment horizontal="center" vertical="center" wrapText="1"/>
    </xf>
    <xf numFmtId="173" fontId="28" fillId="4" borderId="16" xfId="0" applyNumberFormat="1" applyFont="1" applyFill="1" applyBorder="1" applyAlignment="1">
      <alignment horizontal="center" vertical="center" wrapText="1"/>
    </xf>
    <xf numFmtId="173" fontId="28" fillId="4" borderId="17" xfId="0" applyNumberFormat="1" applyFont="1" applyFill="1" applyBorder="1" applyAlignment="1">
      <alignment horizontal="center" vertical="center" wrapText="1"/>
    </xf>
    <xf numFmtId="173" fontId="28" fillId="4" borderId="9" xfId="0" applyNumberFormat="1" applyFont="1" applyFill="1" applyBorder="1" applyAlignment="1">
      <alignment horizontal="center" vertical="center" wrapText="1"/>
    </xf>
    <xf numFmtId="173" fontId="28" fillId="4" borderId="19" xfId="0" applyNumberFormat="1" applyFont="1" applyFill="1" applyBorder="1" applyAlignment="1">
      <alignment horizontal="center" vertical="center" wrapText="1"/>
    </xf>
    <xf numFmtId="173" fontId="28" fillId="4" borderId="21" xfId="0" applyNumberFormat="1" applyFont="1" applyFill="1" applyBorder="1" applyAlignment="1">
      <alignment horizontal="center" vertical="center" wrapText="1"/>
    </xf>
    <xf numFmtId="173" fontId="28" fillId="4" borderId="20" xfId="0" applyNumberFormat="1" applyFont="1" applyFill="1" applyBorder="1" applyAlignment="1">
      <alignment horizontal="center" vertical="center" wrapText="1"/>
    </xf>
    <xf numFmtId="173" fontId="22" fillId="4" borderId="13" xfId="0" applyNumberFormat="1" applyFont="1" applyFill="1" applyBorder="1" applyAlignment="1">
      <alignment horizontal="center" vertical="center" wrapText="1"/>
    </xf>
    <xf numFmtId="173" fontId="22" fillId="4" borderId="21" xfId="0" applyNumberFormat="1" applyFont="1" applyFill="1" applyBorder="1" applyAlignment="1">
      <alignment horizontal="center" vertical="center" wrapText="1"/>
    </xf>
    <xf numFmtId="173" fontId="22" fillId="0" borderId="21" xfId="0" applyNumberFormat="1" applyFont="1" applyBorder="1" applyAlignment="1">
      <alignment horizontal="center" vertical="center" wrapText="1"/>
    </xf>
    <xf numFmtId="173" fontId="22" fillId="0" borderId="20" xfId="0" applyNumberFormat="1" applyFont="1" applyBorder="1" applyAlignment="1">
      <alignment horizontal="center" vertical="center" wrapText="1"/>
    </xf>
    <xf numFmtId="173" fontId="22" fillId="4" borderId="33" xfId="0" applyNumberFormat="1" applyFont="1" applyFill="1" applyBorder="1" applyAlignment="1">
      <alignment horizontal="center" vertical="center" wrapText="1"/>
    </xf>
    <xf numFmtId="173" fontId="22" fillId="4" borderId="38" xfId="0" applyNumberFormat="1" applyFont="1" applyFill="1" applyBorder="1" applyAlignment="1">
      <alignment horizontal="center" vertical="center" wrapText="1"/>
    </xf>
    <xf numFmtId="173" fontId="22" fillId="0" borderId="33" xfId="0" applyNumberFormat="1" applyFont="1" applyBorder="1" applyAlignment="1">
      <alignment horizontal="center" vertical="center" wrapText="1"/>
    </xf>
    <xf numFmtId="173" fontId="22" fillId="0" borderId="38" xfId="0" applyNumberFormat="1" applyFont="1" applyBorder="1" applyAlignment="1">
      <alignment horizontal="center" vertical="center" wrapText="1"/>
    </xf>
    <xf numFmtId="173" fontId="28" fillId="4" borderId="11" xfId="0" applyNumberFormat="1" applyFont="1" applyFill="1" applyBorder="1" applyAlignment="1">
      <alignment horizontal="center" vertical="center" wrapText="1"/>
    </xf>
    <xf numFmtId="173" fontId="28" fillId="4" borderId="18" xfId="0" applyNumberFormat="1" applyFont="1" applyFill="1" applyBorder="1" applyAlignment="1">
      <alignment horizontal="center" vertical="center" wrapText="1"/>
    </xf>
    <xf numFmtId="173" fontId="22" fillId="4" borderId="16" xfId="0" applyNumberFormat="1" applyFont="1" applyFill="1" applyBorder="1" applyAlignment="1">
      <alignment horizontal="center" vertical="center" wrapText="1"/>
    </xf>
    <xf numFmtId="173" fontId="22" fillId="4" borderId="17" xfId="0" applyNumberFormat="1" applyFont="1" applyFill="1" applyBorder="1" applyAlignment="1">
      <alignment horizontal="center" vertical="center" wrapText="1"/>
    </xf>
    <xf numFmtId="173" fontId="22" fillId="4" borderId="71" xfId="0" applyNumberFormat="1" applyFont="1" applyFill="1" applyBorder="1" applyAlignment="1">
      <alignment horizontal="center" vertical="center" wrapText="1"/>
    </xf>
    <xf numFmtId="173" fontId="22" fillId="0" borderId="12" xfId="0" applyNumberFormat="1" applyFont="1" applyBorder="1" applyAlignment="1">
      <alignment horizontal="center" vertical="center" wrapText="1"/>
    </xf>
    <xf numFmtId="173" fontId="22" fillId="0" borderId="83" xfId="0" applyNumberFormat="1" applyFont="1" applyBorder="1" applyAlignment="1">
      <alignment horizontal="center" vertical="center" wrapText="1"/>
    </xf>
    <xf numFmtId="173" fontId="22" fillId="0" borderId="16" xfId="0" applyNumberFormat="1" applyFont="1" applyBorder="1" applyAlignment="1">
      <alignment horizontal="center" vertical="center" wrapText="1"/>
    </xf>
    <xf numFmtId="173" fontId="22" fillId="0" borderId="17" xfId="0" applyNumberFormat="1" applyFont="1" applyBorder="1" applyAlignment="1">
      <alignment horizontal="center" vertical="center" wrapText="1"/>
    </xf>
    <xf numFmtId="173" fontId="28" fillId="0" borderId="21" xfId="0" applyNumberFormat="1" applyFont="1" applyBorder="1" applyAlignment="1">
      <alignment horizontal="center" vertical="center" wrapText="1"/>
    </xf>
    <xf numFmtId="173" fontId="28" fillId="0" borderId="20" xfId="0" applyNumberFormat="1" applyFont="1" applyBorder="1" applyAlignment="1">
      <alignment horizontal="center" vertical="center" wrapText="1"/>
    </xf>
    <xf numFmtId="167" fontId="25" fillId="0" borderId="26" xfId="0" applyNumberFormat="1" applyFont="1" applyFill="1" applyBorder="1" applyAlignment="1">
      <alignment horizontal="center" vertical="center" wrapText="1"/>
    </xf>
    <xf numFmtId="167" fontId="25" fillId="0" borderId="16" xfId="0" applyNumberFormat="1" applyFont="1" applyFill="1" applyBorder="1" applyAlignment="1">
      <alignment horizontal="center" vertical="center" wrapText="1"/>
    </xf>
    <xf numFmtId="167" fontId="25" fillId="0" borderId="2" xfId="0" applyNumberFormat="1" applyFont="1" applyFill="1" applyBorder="1" applyAlignment="1">
      <alignment horizontal="center" vertical="center" wrapText="1"/>
    </xf>
    <xf numFmtId="167" fontId="25" fillId="0" borderId="29" xfId="0" applyNumberFormat="1" applyFont="1" applyFill="1" applyBorder="1" applyAlignment="1">
      <alignment horizontal="center" vertical="center" wrapText="1"/>
    </xf>
    <xf numFmtId="167" fontId="25" fillId="0" borderId="13" xfId="0" applyNumberFormat="1" applyFont="1" applyFill="1" applyBorder="1" applyAlignment="1">
      <alignment horizontal="center" vertical="center" wrapText="1"/>
    </xf>
    <xf numFmtId="167" fontId="25" fillId="0" borderId="41" xfId="0" applyNumberFormat="1" applyFont="1" applyFill="1" applyBorder="1" applyAlignment="1">
      <alignment horizontal="center" vertical="center" wrapText="1"/>
    </xf>
    <xf numFmtId="167" fontId="25" fillId="0" borderId="1" xfId="0" applyNumberFormat="1" applyFont="1" applyFill="1" applyBorder="1" applyAlignment="1">
      <alignment horizontal="center" vertical="center" wrapText="1"/>
    </xf>
    <xf numFmtId="167" fontId="25" fillId="0" borderId="17" xfId="0" applyNumberFormat="1" applyFont="1" applyFill="1" applyBorder="1" applyAlignment="1">
      <alignment horizontal="center" vertical="center" wrapText="1"/>
    </xf>
    <xf numFmtId="167" fontId="25" fillId="0" borderId="4" xfId="0" applyNumberFormat="1" applyFont="1" applyFill="1" applyBorder="1" applyAlignment="1">
      <alignment horizontal="center" vertical="center" wrapText="1"/>
    </xf>
    <xf numFmtId="167" fontId="25" fillId="0" borderId="9" xfId="0" applyNumberFormat="1" applyFont="1" applyFill="1" applyBorder="1" applyAlignment="1">
      <alignment horizontal="center" vertical="center" wrapText="1"/>
    </xf>
    <xf numFmtId="167" fontId="25" fillId="0" borderId="19" xfId="0" applyNumberFormat="1" applyFont="1" applyFill="1" applyBorder="1" applyAlignment="1">
      <alignment horizontal="center" vertical="center" wrapText="1"/>
    </xf>
    <xf numFmtId="167" fontId="25" fillId="36" borderId="10" xfId="0" applyNumberFormat="1" applyFont="1" applyFill="1" applyBorder="1" applyAlignment="1">
      <alignment horizontal="center" vertical="center" wrapText="1"/>
    </xf>
    <xf numFmtId="167" fontId="25" fillId="36" borderId="9" xfId="0" applyNumberFormat="1" applyFont="1" applyFill="1" applyBorder="1" applyAlignment="1">
      <alignment horizontal="center" vertical="center" wrapText="1"/>
    </xf>
    <xf numFmtId="167" fontId="25" fillId="36" borderId="5" xfId="0" applyNumberFormat="1" applyFont="1" applyFill="1" applyBorder="1" applyAlignment="1">
      <alignment horizontal="center" vertical="center" wrapText="1"/>
    </xf>
    <xf numFmtId="167" fontId="25" fillId="36" borderId="4" xfId="0" applyNumberFormat="1" applyFont="1" applyFill="1" applyBorder="1" applyAlignment="1">
      <alignment horizontal="center" vertical="center" wrapText="1"/>
    </xf>
    <xf numFmtId="167" fontId="25" fillId="36" borderId="19" xfId="0" applyNumberFormat="1" applyFont="1" applyFill="1" applyBorder="1" applyAlignment="1">
      <alignment horizontal="center" vertical="center" wrapText="1"/>
    </xf>
    <xf numFmtId="167" fontId="11" fillId="0" borderId="10" xfId="0" applyNumberFormat="1" applyFont="1" applyFill="1" applyBorder="1" applyAlignment="1">
      <alignment horizontal="center" vertical="center" wrapText="1"/>
    </xf>
    <xf numFmtId="167" fontId="11" fillId="0" borderId="9" xfId="1" applyNumberFormat="1" applyFont="1" applyFill="1" applyBorder="1" applyAlignment="1">
      <alignment horizontal="center" vertical="center" wrapText="1"/>
    </xf>
    <xf numFmtId="167" fontId="25" fillId="0" borderId="5" xfId="0" applyNumberFormat="1" applyFont="1" applyFill="1" applyBorder="1" applyAlignment="1">
      <alignment horizontal="center" vertical="center" wrapText="1"/>
    </xf>
    <xf numFmtId="167" fontId="11" fillId="0" borderId="4" xfId="0" applyNumberFormat="1" applyFont="1" applyFill="1" applyBorder="1" applyAlignment="1">
      <alignment horizontal="center" vertical="center" wrapText="1"/>
    </xf>
    <xf numFmtId="167" fontId="38" fillId="0" borderId="10" xfId="0" applyNumberFormat="1" applyFont="1" applyBorder="1" applyAlignment="1">
      <alignment horizontal="center" vertical="center"/>
    </xf>
    <xf numFmtId="167" fontId="11" fillId="0" borderId="9" xfId="0" applyNumberFormat="1" applyFont="1" applyFill="1" applyBorder="1" applyAlignment="1">
      <alignment horizontal="center" vertical="center" wrapText="1"/>
    </xf>
    <xf numFmtId="167" fontId="38" fillId="0" borderId="4" xfId="0" applyNumberFormat="1" applyFont="1" applyBorder="1" applyAlignment="1">
      <alignment horizontal="center" vertical="center"/>
    </xf>
    <xf numFmtId="167" fontId="4" fillId="0" borderId="4" xfId="0" applyNumberFormat="1" applyFont="1" applyBorder="1" applyAlignment="1">
      <alignment horizontal="center" vertical="center"/>
    </xf>
    <xf numFmtId="167" fontId="26" fillId="0" borderId="9" xfId="0" applyNumberFormat="1" applyFont="1" applyFill="1" applyBorder="1" applyAlignment="1">
      <alignment horizontal="center" vertical="top" wrapText="1"/>
    </xf>
    <xf numFmtId="167" fontId="37" fillId="0" borderId="9" xfId="0" applyNumberFormat="1" applyFont="1" applyBorder="1" applyAlignment="1">
      <alignment horizontal="center" vertical="center"/>
    </xf>
    <xf numFmtId="167" fontId="26" fillId="0" borderId="9" xfId="0" applyNumberFormat="1" applyFont="1" applyFill="1" applyBorder="1" applyAlignment="1">
      <alignment horizontal="center" vertical="center" wrapText="1"/>
    </xf>
    <xf numFmtId="167" fontId="11" fillId="0" borderId="9" xfId="0" applyNumberFormat="1" applyFont="1" applyFill="1" applyBorder="1" applyAlignment="1">
      <alignment vertical="center" wrapText="1"/>
    </xf>
    <xf numFmtId="167" fontId="11" fillId="0" borderId="5" xfId="0" applyNumberFormat="1" applyFont="1" applyFill="1" applyBorder="1" applyAlignment="1">
      <alignment vertical="center" wrapText="1"/>
    </xf>
    <xf numFmtId="167" fontId="11" fillId="0" borderId="19" xfId="0" applyNumberFormat="1" applyFont="1" applyFill="1" applyBorder="1" applyAlignment="1">
      <alignment vertical="center" wrapText="1"/>
    </xf>
    <xf numFmtId="167" fontId="11" fillId="0" borderId="9" xfId="0" applyNumberFormat="1" applyFont="1" applyFill="1" applyBorder="1" applyAlignment="1">
      <alignment horizontal="center" vertical="top" wrapText="1"/>
    </xf>
    <xf numFmtId="167" fontId="4" fillId="0" borderId="9" xfId="0" applyNumberFormat="1" applyFont="1" applyBorder="1" applyAlignment="1">
      <alignment horizontal="center" vertical="center"/>
    </xf>
    <xf numFmtId="167" fontId="11" fillId="0" borderId="5" xfId="0" applyNumberFormat="1" applyFont="1" applyFill="1" applyBorder="1" applyAlignment="1">
      <alignment horizontal="center" vertical="center" wrapText="1"/>
    </xf>
    <xf numFmtId="167" fontId="11" fillId="0" borderId="19" xfId="0" applyNumberFormat="1" applyFont="1" applyFill="1" applyBorder="1" applyAlignment="1">
      <alignment horizontal="center" vertical="center" wrapText="1"/>
    </xf>
    <xf numFmtId="167" fontId="17" fillId="0" borderId="9" xfId="0" applyNumberFormat="1" applyFont="1" applyFill="1" applyBorder="1" applyAlignment="1">
      <alignment horizontal="center" vertical="center" wrapText="1"/>
    </xf>
    <xf numFmtId="167" fontId="13" fillId="0" borderId="9" xfId="0" applyNumberFormat="1" applyFont="1" applyFill="1" applyBorder="1" applyAlignment="1">
      <alignment vertical="center" wrapText="1"/>
    </xf>
    <xf numFmtId="167" fontId="13" fillId="0" borderId="5" xfId="0" applyNumberFormat="1" applyFont="1" applyFill="1" applyBorder="1" applyAlignment="1">
      <alignment vertical="center" wrapText="1"/>
    </xf>
    <xf numFmtId="167" fontId="13" fillId="0" borderId="19" xfId="0" applyNumberFormat="1" applyFont="1" applyFill="1" applyBorder="1" applyAlignment="1">
      <alignment vertical="center" wrapText="1"/>
    </xf>
    <xf numFmtId="167" fontId="18" fillId="0" borderId="9" xfId="0" applyNumberFormat="1" applyFont="1" applyFill="1" applyBorder="1" applyAlignment="1">
      <alignment horizontal="center" vertical="center" wrapText="1"/>
    </xf>
    <xf numFmtId="167" fontId="18" fillId="0" borderId="5" xfId="0" applyNumberFormat="1" applyFont="1" applyFill="1" applyBorder="1" applyAlignment="1">
      <alignment horizontal="center" vertical="center" wrapText="1"/>
    </xf>
    <xf numFmtId="167" fontId="18" fillId="0" borderId="19" xfId="0" applyNumberFormat="1" applyFont="1" applyFill="1" applyBorder="1" applyAlignment="1">
      <alignment horizontal="center" vertical="center" wrapText="1"/>
    </xf>
    <xf numFmtId="167" fontId="79" fillId="0" borderId="9" xfId="0" applyNumberFormat="1" applyFont="1" applyFill="1" applyBorder="1" applyAlignment="1">
      <alignment horizontal="center" vertical="center" wrapText="1"/>
    </xf>
    <xf numFmtId="167" fontId="79" fillId="0" borderId="19" xfId="0" applyNumberFormat="1" applyFont="1" applyFill="1" applyBorder="1" applyAlignment="1">
      <alignment horizontal="center" vertical="center" wrapText="1"/>
    </xf>
    <xf numFmtId="167" fontId="11" fillId="0" borderId="10" xfId="0" applyNumberFormat="1" applyFont="1" applyBorder="1" applyAlignment="1">
      <alignment horizontal="center" vertical="center" wrapText="1"/>
    </xf>
    <xf numFmtId="167" fontId="11" fillId="0" borderId="9" xfId="0" applyNumberFormat="1" applyFont="1" applyBorder="1" applyAlignment="1">
      <alignment horizontal="center" vertical="center" wrapText="1"/>
    </xf>
    <xf numFmtId="167" fontId="11" fillId="0" borderId="5" xfId="0" applyNumberFormat="1" applyFont="1" applyBorder="1" applyAlignment="1">
      <alignment horizontal="center" vertical="center" wrapText="1"/>
    </xf>
    <xf numFmtId="167" fontId="11" fillId="0" borderId="9" xfId="3" applyNumberFormat="1" applyFont="1" applyBorder="1" applyAlignment="1">
      <alignment horizontal="center"/>
    </xf>
    <xf numFmtId="167" fontId="11" fillId="0" borderId="5" xfId="3" applyNumberFormat="1" applyFont="1" applyBorder="1" applyAlignment="1">
      <alignment horizontal="center"/>
    </xf>
    <xf numFmtId="167" fontId="11" fillId="0" borderId="9" xfId="3" applyNumberFormat="1" applyFont="1" applyBorder="1" applyAlignment="1">
      <alignment horizontal="center" vertical="center"/>
    </xf>
    <xf numFmtId="167" fontId="11" fillId="0" borderId="9" xfId="3" applyNumberFormat="1" applyFont="1" applyBorder="1" applyAlignment="1">
      <alignment vertical="center"/>
    </xf>
    <xf numFmtId="167" fontId="11" fillId="0" borderId="5" xfId="3" applyNumberFormat="1" applyFont="1" applyBorder="1" applyAlignment="1">
      <alignment vertical="center"/>
    </xf>
    <xf numFmtId="167" fontId="11" fillId="0" borderId="19" xfId="3" applyNumberFormat="1" applyFont="1" applyBorder="1" applyAlignment="1">
      <alignment vertical="center"/>
    </xf>
    <xf numFmtId="167" fontId="17" fillId="0" borderId="9" xfId="0" applyNumberFormat="1" applyFont="1" applyFill="1" applyBorder="1" applyAlignment="1">
      <alignment horizontal="center" vertical="top" wrapText="1"/>
    </xf>
    <xf numFmtId="167" fontId="11" fillId="0" borderId="19" xfId="0" applyNumberFormat="1" applyFont="1" applyBorder="1" applyAlignment="1">
      <alignment horizontal="center" vertical="center" wrapText="1"/>
    </xf>
    <xf numFmtId="167" fontId="11" fillId="0" borderId="4" xfId="0" applyNumberFormat="1" applyFont="1" applyBorder="1" applyAlignment="1">
      <alignment horizontal="center" vertical="center" wrapText="1"/>
    </xf>
    <xf numFmtId="167" fontId="27" fillId="0" borderId="9" xfId="0" applyNumberFormat="1" applyFont="1" applyBorder="1"/>
    <xf numFmtId="167" fontId="27" fillId="0" borderId="19" xfId="0" applyNumberFormat="1" applyFont="1" applyBorder="1"/>
    <xf numFmtId="167" fontId="19" fillId="0" borderId="9" xfId="0" applyNumberFormat="1" applyFont="1" applyFill="1" applyBorder="1" applyAlignment="1">
      <alignment horizontal="center" vertical="center" wrapText="1"/>
    </xf>
    <xf numFmtId="167" fontId="13" fillId="0" borderId="9" xfId="0" applyNumberFormat="1" applyFont="1" applyFill="1" applyBorder="1" applyAlignment="1">
      <alignment horizontal="center" vertical="center" wrapText="1"/>
    </xf>
    <xf numFmtId="167" fontId="28" fillId="0" borderId="9" xfId="0" applyNumberFormat="1" applyFont="1" applyBorder="1" applyAlignment="1">
      <alignment horizontal="center"/>
    </xf>
    <xf numFmtId="167" fontId="17" fillId="0" borderId="4" xfId="0" applyNumberFormat="1" applyFont="1" applyFill="1" applyBorder="1" applyAlignment="1">
      <alignment horizontal="center" vertical="center" wrapText="1"/>
    </xf>
    <xf numFmtId="167" fontId="17" fillId="0" borderId="19" xfId="0" applyNumberFormat="1" applyFont="1" applyFill="1" applyBorder="1" applyAlignment="1">
      <alignment horizontal="center" vertical="center" wrapText="1"/>
    </xf>
    <xf numFmtId="167" fontId="11" fillId="0" borderId="15" xfId="0" applyNumberFormat="1" applyFont="1" applyFill="1" applyBorder="1" applyAlignment="1">
      <alignment horizontal="center" vertical="center" wrapText="1"/>
    </xf>
    <xf numFmtId="167" fontId="11" fillId="0" borderId="11" xfId="0" applyNumberFormat="1" applyFont="1" applyFill="1" applyBorder="1" applyAlignment="1">
      <alignment horizontal="center" vertical="center" wrapText="1"/>
    </xf>
    <xf numFmtId="167" fontId="19" fillId="0" borderId="11" xfId="0" applyNumberFormat="1" applyFont="1" applyFill="1" applyBorder="1" applyAlignment="1">
      <alignment horizontal="center" vertical="center" wrapText="1"/>
    </xf>
    <xf numFmtId="167" fontId="20" fillId="0" borderId="11" xfId="0" applyNumberFormat="1" applyFont="1" applyFill="1" applyBorder="1" applyAlignment="1">
      <alignment horizontal="center" vertical="center" wrapText="1"/>
    </xf>
    <xf numFmtId="167" fontId="20" fillId="0" borderId="14" xfId="0" applyNumberFormat="1" applyFont="1" applyFill="1" applyBorder="1" applyAlignment="1">
      <alignment horizontal="center" vertical="center" wrapText="1"/>
    </xf>
    <xf numFmtId="167" fontId="20" fillId="0" borderId="9" xfId="0" applyNumberFormat="1" applyFont="1" applyFill="1" applyBorder="1" applyAlignment="1">
      <alignment horizontal="center" vertical="center" wrapText="1"/>
    </xf>
    <xf numFmtId="167" fontId="20" fillId="0" borderId="5" xfId="0" applyNumberFormat="1" applyFont="1" applyFill="1" applyBorder="1" applyAlignment="1">
      <alignment horizontal="center" vertical="center" wrapText="1"/>
    </xf>
    <xf numFmtId="167" fontId="20" fillId="0" borderId="19" xfId="0" applyNumberFormat="1" applyFont="1" applyFill="1" applyBorder="1" applyAlignment="1">
      <alignment horizontal="center" vertical="center" wrapText="1"/>
    </xf>
    <xf numFmtId="167" fontId="27" fillId="36" borderId="10" xfId="0" applyNumberFormat="1" applyFont="1" applyFill="1" applyBorder="1"/>
    <xf numFmtId="167" fontId="5" fillId="36" borderId="9" xfId="0" applyNumberFormat="1" applyFont="1" applyFill="1" applyBorder="1"/>
    <xf numFmtId="167" fontId="0" fillId="36" borderId="9" xfId="0" applyNumberFormat="1" applyFill="1" applyBorder="1"/>
    <xf numFmtId="167" fontId="0" fillId="36" borderId="5" xfId="0" applyNumberFormat="1" applyFill="1" applyBorder="1"/>
    <xf numFmtId="167" fontId="27" fillId="36" borderId="4" xfId="0" applyNumberFormat="1" applyFont="1" applyFill="1" applyBorder="1"/>
    <xf numFmtId="167" fontId="27" fillId="0" borderId="10" xfId="0" applyNumberFormat="1" applyFont="1" applyBorder="1"/>
    <xf numFmtId="167" fontId="5" fillId="0" borderId="9" xfId="0" applyNumberFormat="1" applyFont="1" applyBorder="1"/>
    <xf numFmtId="167" fontId="0" fillId="0" borderId="9" xfId="0" applyNumberFormat="1" applyBorder="1"/>
    <xf numFmtId="167" fontId="0" fillId="0" borderId="5" xfId="0" applyNumberFormat="1" applyBorder="1"/>
    <xf numFmtId="167" fontId="27" fillId="0" borderId="7" xfId="0" applyNumberFormat="1" applyFont="1" applyBorder="1"/>
    <xf numFmtId="167" fontId="5" fillId="0" borderId="21" xfId="0" applyNumberFormat="1" applyFont="1" applyBorder="1"/>
    <xf numFmtId="167" fontId="0" fillId="0" borderId="21" xfId="0" applyNumberFormat="1" applyBorder="1"/>
    <xf numFmtId="167" fontId="0" fillId="0" borderId="8" xfId="0" applyNumberFormat="1" applyBorder="1"/>
    <xf numFmtId="167" fontId="11" fillId="0" borderId="7" xfId="0" applyNumberFormat="1" applyFont="1" applyFill="1" applyBorder="1" applyAlignment="1">
      <alignment horizontal="center" vertical="center" wrapText="1"/>
    </xf>
    <xf numFmtId="167" fontId="5" fillId="0" borderId="21" xfId="0" applyNumberFormat="1" applyFont="1" applyBorder="1" applyAlignment="1">
      <alignment horizontal="center" vertical="center"/>
    </xf>
    <xf numFmtId="167" fontId="0" fillId="0" borderId="20" xfId="0" applyNumberFormat="1" applyBorder="1"/>
    <xf numFmtId="167" fontId="4" fillId="0" borderId="21" xfId="0" applyNumberFormat="1" applyFont="1" applyBorder="1" applyAlignment="1">
      <alignment horizontal="center" vertical="center"/>
    </xf>
    <xf numFmtId="167" fontId="4" fillId="0" borderId="21" xfId="0" applyNumberFormat="1" applyFont="1" applyBorder="1"/>
    <xf numFmtId="167" fontId="4" fillId="0" borderId="20" xfId="0" applyNumberFormat="1" applyFont="1" applyBorder="1"/>
    <xf numFmtId="0" fontId="28" fillId="5" borderId="0" xfId="52" applyFont="1" applyFill="1"/>
    <xf numFmtId="0" fontId="13" fillId="0" borderId="0" xfId="52" applyFont="1"/>
    <xf numFmtId="0" fontId="28" fillId="0" borderId="0" xfId="52" applyFont="1" applyAlignment="1">
      <alignment horizontal="left"/>
    </xf>
    <xf numFmtId="0" fontId="28" fillId="0" borderId="0" xfId="52" applyFont="1" applyAlignment="1">
      <alignment horizontal="center"/>
    </xf>
    <xf numFmtId="0" fontId="22" fillId="5" borderId="0" xfId="52" applyFont="1" applyFill="1" applyBorder="1" applyAlignment="1">
      <alignment horizontal="center" wrapText="1"/>
    </xf>
    <xf numFmtId="0" fontId="28" fillId="0" borderId="0" xfId="52" applyFont="1"/>
    <xf numFmtId="0" fontId="22" fillId="5" borderId="0" xfId="52" applyFont="1" applyFill="1" applyBorder="1" applyAlignment="1">
      <alignment horizontal="centerContinuous" wrapText="1"/>
    </xf>
    <xf numFmtId="0" fontId="28" fillId="5" borderId="0" xfId="52" applyFont="1" applyFill="1" applyAlignment="1">
      <alignment horizontal="center"/>
    </xf>
    <xf numFmtId="0" fontId="22" fillId="5" borderId="13" xfId="52" applyFont="1" applyFill="1" applyBorder="1"/>
    <xf numFmtId="49" fontId="44" fillId="0" borderId="11" xfId="0" applyNumberFormat="1" applyFont="1" applyFill="1" applyBorder="1" applyAlignment="1">
      <alignment horizontal="left" vertical="top" wrapText="1"/>
    </xf>
    <xf numFmtId="0" fontId="13" fillId="5" borderId="0" xfId="52" applyFont="1" applyFill="1" applyBorder="1" applyAlignment="1">
      <alignment horizontal="left" vertical="center" wrapText="1"/>
    </xf>
    <xf numFmtId="0" fontId="28" fillId="5" borderId="0" xfId="52" applyFont="1" applyFill="1" applyBorder="1" applyAlignment="1">
      <alignment horizontal="left" vertical="center" wrapText="1"/>
    </xf>
    <xf numFmtId="0" fontId="28" fillId="5" borderId="0" xfId="52" applyFont="1" applyFill="1" applyAlignment="1">
      <alignment horizontal="left" vertical="center"/>
    </xf>
    <xf numFmtId="0" fontId="22" fillId="5" borderId="9" xfId="52" applyFont="1" applyFill="1" applyBorder="1"/>
    <xf numFmtId="0" fontId="13" fillId="5" borderId="0" xfId="52" applyFont="1" applyFill="1"/>
    <xf numFmtId="0" fontId="43" fillId="5" borderId="0" xfId="52" applyFont="1" applyFill="1" applyBorder="1" applyAlignment="1">
      <alignment horizontal="left" wrapText="1"/>
    </xf>
    <xf numFmtId="0" fontId="13" fillId="5" borderId="0" xfId="52" applyFont="1" applyFill="1" applyBorder="1" applyAlignment="1">
      <alignment wrapText="1"/>
    </xf>
    <xf numFmtId="0" fontId="28" fillId="5" borderId="0" xfId="52" applyFont="1" applyFill="1" applyBorder="1" applyAlignment="1">
      <alignment horizontal="left"/>
    </xf>
    <xf numFmtId="0" fontId="28" fillId="5" borderId="0" xfId="52" applyFont="1" applyFill="1" applyBorder="1" applyAlignment="1">
      <alignment horizontal="centerContinuous" wrapText="1"/>
    </xf>
    <xf numFmtId="0" fontId="28" fillId="5" borderId="42" xfId="52" applyFont="1" applyFill="1" applyBorder="1" applyAlignment="1"/>
    <xf numFmtId="0" fontId="28" fillId="5" borderId="42" xfId="52" applyFont="1" applyFill="1" applyBorder="1" applyAlignment="1">
      <alignment wrapText="1"/>
    </xf>
    <xf numFmtId="0" fontId="13" fillId="0" borderId="5" xfId="52" applyFont="1" applyBorder="1" applyAlignment="1">
      <alignment horizontal="centerContinuous" wrapText="1"/>
    </xf>
    <xf numFmtId="0" fontId="13" fillId="0" borderId="10" xfId="52" applyFont="1" applyBorder="1" applyAlignment="1">
      <alignment horizontal="centerContinuous" wrapText="1"/>
    </xf>
    <xf numFmtId="0" fontId="13" fillId="0" borderId="9" xfId="52" applyFont="1" applyBorder="1" applyAlignment="1">
      <alignment horizontal="centerContinuous" wrapText="1"/>
    </xf>
    <xf numFmtId="0" fontId="13" fillId="0" borderId="9" xfId="52" applyFont="1" applyBorder="1" applyAlignment="1">
      <alignment horizontal="center" wrapText="1"/>
    </xf>
    <xf numFmtId="0" fontId="37" fillId="0" borderId="13" xfId="52" applyFont="1" applyFill="1" applyBorder="1" applyAlignment="1">
      <alignment horizontal="center" vertical="center" wrapText="1"/>
    </xf>
    <xf numFmtId="0" fontId="13" fillId="0" borderId="13" xfId="52" applyFont="1" applyBorder="1" applyAlignment="1">
      <alignment horizontal="center" wrapText="1"/>
    </xf>
    <xf numFmtId="0" fontId="8" fillId="0" borderId="11" xfId="52" applyFont="1" applyFill="1" applyBorder="1" applyAlignment="1">
      <alignment horizontal="center" vertical="top" wrapText="1"/>
    </xf>
    <xf numFmtId="0" fontId="8" fillId="0" borderId="9" xfId="52" applyFont="1" applyFill="1" applyBorder="1" applyAlignment="1">
      <alignment horizontal="center" vertical="top" wrapText="1"/>
    </xf>
    <xf numFmtId="0" fontId="28" fillId="0" borderId="0" xfId="52" applyFont="1" applyFill="1" applyAlignment="1">
      <alignment horizontal="center" vertical="center"/>
    </xf>
    <xf numFmtId="0" fontId="13" fillId="0" borderId="10" xfId="52" applyFont="1" applyFill="1" applyBorder="1" applyAlignment="1">
      <alignment horizontal="center" vertical="center" wrapText="1"/>
    </xf>
    <xf numFmtId="0" fontId="22" fillId="0" borderId="9" xfId="52" applyFont="1" applyFill="1" applyBorder="1" applyAlignment="1">
      <alignment horizontal="left" vertical="center" wrapText="1"/>
    </xf>
    <xf numFmtId="165" fontId="28" fillId="0" borderId="9" xfId="52" applyNumberFormat="1" applyFont="1" applyFill="1" applyBorder="1" applyAlignment="1">
      <alignment horizontal="center" vertical="center" wrapText="1"/>
    </xf>
    <xf numFmtId="0" fontId="28" fillId="0" borderId="0" xfId="52" applyFont="1" applyAlignment="1">
      <alignment horizontal="center" vertical="center"/>
    </xf>
    <xf numFmtId="0" fontId="13" fillId="0" borderId="10" xfId="52" applyFont="1" applyBorder="1" applyAlignment="1">
      <alignment horizontal="center" vertical="center" wrapText="1"/>
    </xf>
    <xf numFmtId="0" fontId="28" fillId="0" borderId="9" xfId="52" applyFont="1" applyBorder="1" applyAlignment="1">
      <alignment horizontal="left" vertical="center" wrapText="1"/>
    </xf>
    <xf numFmtId="165" fontId="28" fillId="0" borderId="9" xfId="52" applyNumberFormat="1" applyFont="1" applyBorder="1" applyAlignment="1">
      <alignment horizontal="center" vertical="center" wrapText="1"/>
    </xf>
    <xf numFmtId="165" fontId="13" fillId="0" borderId="9" xfId="52" applyNumberFormat="1" applyFont="1" applyBorder="1" applyAlignment="1">
      <alignment horizontal="center" vertical="center" wrapText="1"/>
    </xf>
    <xf numFmtId="0" fontId="22" fillId="11" borderId="0" xfId="52" applyFont="1" applyFill="1" applyAlignment="1">
      <alignment horizontal="center" vertical="center"/>
    </xf>
    <xf numFmtId="0" fontId="22" fillId="11" borderId="9" xfId="52" applyFont="1" applyFill="1" applyBorder="1" applyAlignment="1">
      <alignment wrapText="1"/>
    </xf>
    <xf numFmtId="165" fontId="22" fillId="11" borderId="9" xfId="52" applyNumberFormat="1" applyFont="1" applyFill="1" applyBorder="1" applyAlignment="1">
      <alignment horizontal="center" vertical="center" wrapText="1"/>
    </xf>
    <xf numFmtId="0" fontId="28" fillId="0" borderId="9" xfId="52" applyFont="1" applyFill="1" applyBorder="1" applyAlignment="1">
      <alignment wrapText="1"/>
    </xf>
    <xf numFmtId="0" fontId="21" fillId="11" borderId="10" xfId="52" applyFont="1" applyFill="1" applyBorder="1" applyAlignment="1">
      <alignment horizontal="center" vertical="center" wrapText="1"/>
    </xf>
    <xf numFmtId="0" fontId="22" fillId="11" borderId="9" xfId="52" applyFont="1" applyFill="1" applyBorder="1" applyAlignment="1">
      <alignment horizontal="left" vertical="center" wrapText="1"/>
    </xf>
    <xf numFmtId="0" fontId="13" fillId="9" borderId="10" xfId="52" applyFont="1" applyFill="1" applyBorder="1" applyAlignment="1">
      <alignment horizontal="center" vertical="center" wrapText="1"/>
    </xf>
    <xf numFmtId="0" fontId="22" fillId="9" borderId="9" xfId="52" applyFont="1" applyFill="1" applyBorder="1" applyAlignment="1">
      <alignment horizontal="left" vertical="center" wrapText="1"/>
    </xf>
    <xf numFmtId="165" fontId="28" fillId="9" borderId="9" xfId="52" applyNumberFormat="1" applyFont="1" applyFill="1" applyBorder="1" applyAlignment="1">
      <alignment horizontal="center" vertical="center" wrapText="1"/>
    </xf>
    <xf numFmtId="0" fontId="28" fillId="0" borderId="12" xfId="52" applyFont="1" applyFill="1" applyBorder="1"/>
    <xf numFmtId="0" fontId="28" fillId="0" borderId="51" xfId="52" applyFont="1" applyFill="1" applyBorder="1"/>
    <xf numFmtId="49" fontId="55" fillId="0" borderId="32" xfId="52" applyNumberFormat="1" applyFont="1" applyFill="1" applyBorder="1" applyAlignment="1">
      <alignment horizontal="center" vertical="center" wrapText="1"/>
    </xf>
    <xf numFmtId="49" fontId="22" fillId="0" borderId="13" xfId="52" applyNumberFormat="1" applyFont="1" applyFill="1" applyBorder="1" applyAlignment="1">
      <alignment horizontal="left" vertical="center" wrapText="1"/>
    </xf>
    <xf numFmtId="165" fontId="13" fillId="0" borderId="9" xfId="0" applyNumberFormat="1" applyFont="1" applyFill="1" applyBorder="1" applyAlignment="1">
      <alignment horizontal="center" vertical="center" wrapText="1"/>
    </xf>
    <xf numFmtId="49" fontId="22" fillId="0" borderId="9" xfId="52" applyNumberFormat="1" applyFont="1" applyFill="1" applyBorder="1" applyAlignment="1">
      <alignment horizontal="left" vertical="center" wrapText="1"/>
    </xf>
    <xf numFmtId="0" fontId="28" fillId="5" borderId="0" xfId="52" applyFont="1" applyFill="1" applyAlignment="1">
      <alignment horizontal="center" vertical="center"/>
    </xf>
    <xf numFmtId="49" fontId="22" fillId="0" borderId="32" xfId="52" applyNumberFormat="1" applyFont="1" applyFill="1" applyBorder="1" applyAlignment="1">
      <alignment horizontal="center" vertical="center" wrapText="1"/>
    </xf>
    <xf numFmtId="165" fontId="28" fillId="4" borderId="9" xfId="52" applyNumberFormat="1" applyFont="1" applyFill="1" applyBorder="1" applyAlignment="1">
      <alignment horizontal="center" vertical="center" wrapText="1"/>
    </xf>
    <xf numFmtId="49" fontId="55" fillId="9" borderId="32" xfId="52" applyNumberFormat="1" applyFont="1" applyFill="1" applyBorder="1" applyAlignment="1">
      <alignment horizontal="center" vertical="center" wrapText="1"/>
    </xf>
    <xf numFmtId="165" fontId="28" fillId="5" borderId="9" xfId="52" applyNumberFormat="1" applyFont="1" applyFill="1" applyBorder="1" applyAlignment="1">
      <alignment horizontal="center" vertical="center" wrapText="1"/>
    </xf>
    <xf numFmtId="0" fontId="28" fillId="4" borderId="9" xfId="52" applyFont="1" applyFill="1" applyBorder="1" applyAlignment="1">
      <alignment horizontal="left" vertical="center" wrapText="1"/>
    </xf>
    <xf numFmtId="0" fontId="22" fillId="5" borderId="9" xfId="52" applyFont="1" applyFill="1" applyBorder="1" applyAlignment="1">
      <alignment horizontal="left" vertical="center" wrapText="1"/>
    </xf>
    <xf numFmtId="0" fontId="22" fillId="0" borderId="9" xfId="52" applyFont="1" applyBorder="1" applyAlignment="1">
      <alignment horizontal="left" vertical="center" wrapText="1"/>
    </xf>
    <xf numFmtId="0" fontId="13" fillId="5" borderId="9" xfId="0" applyFont="1" applyFill="1" applyBorder="1" applyAlignment="1">
      <alignment horizontal="center" vertical="center" wrapText="1"/>
    </xf>
    <xf numFmtId="165" fontId="13" fillId="5" borderId="9" xfId="52" applyNumberFormat="1" applyFont="1" applyFill="1" applyBorder="1" applyAlignment="1">
      <alignment horizontal="center" vertical="center" wrapText="1"/>
    </xf>
    <xf numFmtId="0" fontId="28" fillId="0" borderId="9" xfId="52" applyFont="1" applyFill="1" applyBorder="1" applyAlignment="1">
      <alignment horizontal="left" vertical="center" wrapText="1"/>
    </xf>
    <xf numFmtId="0" fontId="22" fillId="5" borderId="0" xfId="52" applyFont="1" applyFill="1" applyAlignment="1">
      <alignment horizontal="center" vertical="center"/>
    </xf>
    <xf numFmtId="165" fontId="22" fillId="5" borderId="9" xfId="52" applyNumberFormat="1" applyFont="1" applyFill="1" applyBorder="1" applyAlignment="1">
      <alignment horizontal="center" vertical="center" wrapText="1"/>
    </xf>
    <xf numFmtId="0" fontId="28" fillId="0" borderId="0" xfId="52" applyFont="1" applyFill="1" applyBorder="1"/>
    <xf numFmtId="0" fontId="28" fillId="0" borderId="13" xfId="52" applyFont="1" applyFill="1" applyBorder="1"/>
    <xf numFmtId="0" fontId="28" fillId="0" borderId="32" xfId="52" applyFont="1" applyFill="1" applyBorder="1"/>
    <xf numFmtId="0" fontId="28" fillId="0" borderId="0" xfId="52" applyFont="1" applyFill="1"/>
    <xf numFmtId="0" fontId="28" fillId="5" borderId="43" xfId="52" applyFont="1" applyFill="1" applyBorder="1" applyAlignment="1">
      <alignment wrapText="1"/>
    </xf>
    <xf numFmtId="165" fontId="28" fillId="5" borderId="43" xfId="52" applyNumberFormat="1" applyFont="1" applyFill="1" applyBorder="1" applyAlignment="1">
      <alignment wrapText="1"/>
    </xf>
    <xf numFmtId="0" fontId="21" fillId="11" borderId="9" xfId="52" applyFont="1" applyFill="1" applyBorder="1" applyAlignment="1">
      <alignment horizontal="center" wrapText="1"/>
    </xf>
    <xf numFmtId="0" fontId="48" fillId="11" borderId="9" xfId="52" applyFont="1" applyFill="1" applyBorder="1" applyAlignment="1">
      <alignment wrapText="1"/>
    </xf>
    <xf numFmtId="165" fontId="22" fillId="11" borderId="9" xfId="52" applyNumberFormat="1" applyFont="1" applyFill="1" applyBorder="1" applyAlignment="1">
      <alignment horizontal="center" wrapText="1"/>
    </xf>
    <xf numFmtId="0" fontId="22" fillId="11" borderId="0" xfId="52" applyFont="1" applyFill="1"/>
    <xf numFmtId="0" fontId="21" fillId="0" borderId="9" xfId="52" applyFont="1" applyFill="1" applyBorder="1" applyAlignment="1">
      <alignment horizontal="center" wrapText="1"/>
    </xf>
    <xf numFmtId="165" fontId="28" fillId="0" borderId="9" xfId="52" applyNumberFormat="1" applyFont="1" applyFill="1" applyBorder="1" applyAlignment="1">
      <alignment horizontal="center" wrapText="1"/>
    </xf>
    <xf numFmtId="0" fontId="21" fillId="5" borderId="9" xfId="52" applyFont="1" applyFill="1" applyBorder="1" applyAlignment="1">
      <alignment horizontal="center" vertical="center" wrapText="1"/>
    </xf>
    <xf numFmtId="0" fontId="22" fillId="0" borderId="9" xfId="52" applyFont="1" applyBorder="1" applyAlignment="1">
      <alignment vertical="center" wrapText="1"/>
    </xf>
    <xf numFmtId="165" fontId="13" fillId="5" borderId="9" xfId="0" applyNumberFormat="1" applyFont="1" applyFill="1" applyBorder="1" applyAlignment="1">
      <alignment horizontal="center" vertical="center" wrapText="1"/>
    </xf>
    <xf numFmtId="0" fontId="22" fillId="5" borderId="0" xfId="52" applyFont="1" applyFill="1" applyAlignment="1">
      <alignment vertical="center"/>
    </xf>
    <xf numFmtId="0" fontId="22" fillId="0" borderId="9" xfId="52" applyFont="1" applyBorder="1" applyAlignment="1">
      <alignment horizontal="left" vertical="top" wrapText="1"/>
    </xf>
    <xf numFmtId="0" fontId="21" fillId="5" borderId="9" xfId="52" applyFont="1" applyFill="1" applyBorder="1" applyAlignment="1">
      <alignment horizontal="center" wrapText="1"/>
    </xf>
    <xf numFmtId="0" fontId="22" fillId="0" borderId="9" xfId="52" applyFont="1" applyBorder="1" applyAlignment="1">
      <alignment wrapText="1"/>
    </xf>
    <xf numFmtId="165" fontId="22" fillId="5" borderId="9" xfId="52" applyNumberFormat="1" applyFont="1" applyFill="1" applyBorder="1" applyAlignment="1">
      <alignment horizontal="center" wrapText="1"/>
    </xf>
    <xf numFmtId="165" fontId="28" fillId="5" borderId="9" xfId="52" applyNumberFormat="1" applyFont="1" applyFill="1" applyBorder="1" applyAlignment="1">
      <alignment horizontal="center" wrapText="1"/>
    </xf>
    <xf numFmtId="0" fontId="22" fillId="5" borderId="0" xfId="52" applyFont="1" applyFill="1"/>
    <xf numFmtId="0" fontId="28" fillId="5" borderId="0" xfId="0" applyFont="1" applyFill="1" applyBorder="1" applyAlignment="1">
      <alignment horizontal="center" wrapText="1"/>
    </xf>
    <xf numFmtId="0" fontId="13" fillId="0" borderId="5" xfId="0" applyFont="1" applyBorder="1" applyAlignment="1">
      <alignment horizontal="center" wrapText="1"/>
    </xf>
    <xf numFmtId="0" fontId="13" fillId="0" borderId="10" xfId="0" applyFont="1" applyBorder="1" applyAlignment="1">
      <alignment horizontal="center" wrapText="1"/>
    </xf>
    <xf numFmtId="49" fontId="28" fillId="5" borderId="9" xfId="0" applyNumberFormat="1" applyFont="1" applyFill="1" applyBorder="1" applyAlignment="1">
      <alignment horizontal="center"/>
    </xf>
    <xf numFmtId="0" fontId="22" fillId="42" borderId="9" xfId="0" applyFont="1" applyFill="1" applyBorder="1" applyAlignment="1">
      <alignment horizontal="left" vertical="center" wrapText="1"/>
    </xf>
    <xf numFmtId="165" fontId="22" fillId="42" borderId="9" xfId="0" applyNumberFormat="1" applyFont="1" applyFill="1" applyBorder="1" applyAlignment="1">
      <alignment horizontal="center" vertical="center" wrapText="1"/>
    </xf>
    <xf numFmtId="49" fontId="22" fillId="0" borderId="32" xfId="0" applyNumberFormat="1" applyFont="1" applyFill="1" applyBorder="1" applyAlignment="1">
      <alignment horizontal="center" vertical="center" wrapText="1"/>
    </xf>
    <xf numFmtId="165" fontId="28" fillId="0" borderId="9" xfId="11" applyNumberFormat="1" applyFont="1" applyFill="1" applyBorder="1" applyAlignment="1">
      <alignment horizontal="center" wrapText="1"/>
    </xf>
    <xf numFmtId="0" fontId="37" fillId="6" borderId="9" xfId="0" applyFont="1" applyFill="1" applyBorder="1" applyAlignment="1">
      <alignment horizontal="center" vertical="center" wrapText="1"/>
    </xf>
    <xf numFmtId="173" fontId="39" fillId="0" borderId="9" xfId="0" applyNumberFormat="1" applyFont="1" applyBorder="1" applyAlignment="1">
      <alignment horizontal="center" vertical="center" wrapText="1"/>
    </xf>
    <xf numFmtId="173" fontId="28" fillId="0" borderId="9" xfId="0" applyNumberFormat="1" applyFont="1" applyBorder="1" applyAlignment="1">
      <alignment horizontal="center" vertical="center" wrapText="1"/>
    </xf>
    <xf numFmtId="173" fontId="22" fillId="0" borderId="9" xfId="0" applyNumberFormat="1" applyFont="1" applyBorder="1" applyAlignment="1">
      <alignment horizontal="center" vertical="center" wrapText="1"/>
    </xf>
    <xf numFmtId="0" fontId="37" fillId="6" borderId="19" xfId="0" applyFont="1" applyFill="1" applyBorder="1" applyAlignment="1">
      <alignment horizontal="center" vertical="center" wrapText="1"/>
    </xf>
    <xf numFmtId="0" fontId="39" fillId="0" borderId="4" xfId="0" applyFont="1" applyBorder="1" applyAlignment="1">
      <alignment vertical="center" wrapText="1"/>
    </xf>
    <xf numFmtId="173" fontId="39" fillId="0" borderId="19" xfId="0" applyNumberFormat="1" applyFont="1" applyBorder="1" applyAlignment="1">
      <alignment horizontal="center" vertical="center" wrapText="1"/>
    </xf>
    <xf numFmtId="0" fontId="28" fillId="0" borderId="4" xfId="0" applyFont="1" applyBorder="1" applyAlignment="1">
      <alignment vertical="center" wrapText="1"/>
    </xf>
    <xf numFmtId="173" fontId="28" fillId="0" borderId="19" xfId="0" applyNumberFormat="1" applyFont="1" applyBorder="1" applyAlignment="1">
      <alignment horizontal="center" vertical="center" wrapText="1"/>
    </xf>
    <xf numFmtId="0" fontId="22" fillId="0" borderId="4" xfId="0" applyFont="1" applyBorder="1" applyAlignment="1">
      <alignment vertical="center" wrapText="1"/>
    </xf>
    <xf numFmtId="173" fontId="22" fillId="0" borderId="19" xfId="0" applyNumberFormat="1" applyFont="1" applyBorder="1" applyAlignment="1">
      <alignment horizontal="center" vertical="center" wrapText="1"/>
    </xf>
    <xf numFmtId="0" fontId="25" fillId="6" borderId="53" xfId="0" applyFont="1" applyFill="1" applyBorder="1" applyAlignment="1">
      <alignment horizontal="center" vertical="center" wrapText="1"/>
    </xf>
    <xf numFmtId="164" fontId="91" fillId="4" borderId="9" xfId="1" applyNumberFormat="1" applyFont="1" applyFill="1" applyBorder="1" applyAlignment="1">
      <alignment vertical="top"/>
    </xf>
    <xf numFmtId="0" fontId="82" fillId="0" borderId="0" xfId="0" applyFont="1" applyFill="1" applyAlignment="1"/>
    <xf numFmtId="0" fontId="37" fillId="0" borderId="9" xfId="0" applyFont="1" applyFill="1" applyBorder="1" applyAlignment="1">
      <alignment horizontal="center" wrapText="1"/>
    </xf>
    <xf numFmtId="0" fontId="35" fillId="0" borderId="63" xfId="0" applyFont="1" applyBorder="1" applyAlignment="1">
      <alignment horizontal="justify" vertical="center" wrapText="1"/>
    </xf>
    <xf numFmtId="0" fontId="35" fillId="2" borderId="9" xfId="0" applyFont="1" applyFill="1" applyBorder="1" applyAlignment="1">
      <alignment horizontal="center" vertical="center" wrapText="1"/>
    </xf>
    <xf numFmtId="167" fontId="35" fillId="0" borderId="9" xfId="0" applyNumberFormat="1" applyFont="1" applyBorder="1" applyAlignment="1">
      <alignment horizontal="center" vertical="center"/>
    </xf>
    <xf numFmtId="0" fontId="57" fillId="0" borderId="0" xfId="0" applyFont="1"/>
    <xf numFmtId="167" fontId="57" fillId="0" borderId="0" xfId="0" applyNumberFormat="1" applyFont="1"/>
    <xf numFmtId="167" fontId="93" fillId="0" borderId="42" xfId="3" applyNumberFormat="1" applyFont="1" applyFill="1" applyBorder="1" applyAlignment="1">
      <alignment horizontal="left" vertical="top" wrapText="1"/>
    </xf>
    <xf numFmtId="167" fontId="94" fillId="2" borderId="9" xfId="0" applyNumberFormat="1" applyFont="1" applyFill="1" applyBorder="1" applyAlignment="1">
      <alignment vertical="center" wrapText="1"/>
    </xf>
    <xf numFmtId="167" fontId="93" fillId="0" borderId="0" xfId="3" applyNumberFormat="1" applyFont="1" applyBorder="1" applyAlignment="1">
      <alignment horizontal="left" vertical="top" wrapText="1"/>
    </xf>
    <xf numFmtId="167" fontId="95" fillId="3" borderId="10" xfId="3" applyNumberFormat="1" applyFont="1" applyFill="1" applyBorder="1" applyAlignment="1">
      <alignment vertical="top" wrapText="1"/>
    </xf>
    <xf numFmtId="167" fontId="95" fillId="3" borderId="6" xfId="3" applyNumberFormat="1" applyFont="1" applyFill="1" applyBorder="1" applyAlignment="1">
      <alignment vertical="top" wrapText="1"/>
    </xf>
    <xf numFmtId="167" fontId="95" fillId="3" borderId="5" xfId="3" applyNumberFormat="1" applyFont="1" applyFill="1" applyBorder="1" applyAlignment="1">
      <alignment vertical="top" wrapText="1"/>
    </xf>
    <xf numFmtId="167" fontId="96" fillId="0" borderId="0" xfId="3" applyNumberFormat="1" applyFont="1" applyBorder="1" applyAlignment="1">
      <alignment horizontal="left" vertical="top" wrapText="1"/>
    </xf>
    <xf numFmtId="167" fontId="93" fillId="0" borderId="0" xfId="3" applyNumberFormat="1" applyFont="1" applyBorder="1" applyAlignment="1">
      <alignment horizontal="left" vertical="top"/>
    </xf>
    <xf numFmtId="167" fontId="93" fillId="0" borderId="9" xfId="3" applyNumberFormat="1" applyFont="1" applyBorder="1" applyAlignment="1">
      <alignment horizontal="left" vertical="top" wrapText="1"/>
    </xf>
    <xf numFmtId="167" fontId="97" fillId="0" borderId="0" xfId="3" applyNumberFormat="1" applyFont="1" applyBorder="1" applyAlignment="1">
      <alignment horizontal="left" vertical="top" wrapText="1"/>
    </xf>
    <xf numFmtId="167" fontId="93" fillId="0" borderId="13" xfId="3" applyNumberFormat="1" applyFont="1" applyBorder="1" applyAlignment="1">
      <alignment vertical="top" wrapText="1"/>
    </xf>
    <xf numFmtId="0" fontId="57" fillId="0" borderId="0" xfId="0" applyFont="1" applyFill="1"/>
    <xf numFmtId="167" fontId="93" fillId="0" borderId="0" xfId="3" applyNumberFormat="1" applyFont="1" applyFill="1" applyBorder="1" applyAlignment="1">
      <alignment horizontal="left" vertical="top" wrapText="1"/>
    </xf>
    <xf numFmtId="167" fontId="97" fillId="0" borderId="9" xfId="0" applyNumberFormat="1" applyFont="1" applyFill="1" applyBorder="1" applyAlignment="1">
      <alignment vertical="center" wrapText="1"/>
    </xf>
    <xf numFmtId="167" fontId="93" fillId="0" borderId="0" xfId="0" applyNumberFormat="1" applyFont="1" applyAlignment="1">
      <alignment horizontal="left" vertical="top" wrapText="1"/>
    </xf>
    <xf numFmtId="167" fontId="96" fillId="0" borderId="0" xfId="3" applyNumberFormat="1" applyFont="1" applyBorder="1" applyAlignment="1">
      <alignment horizontal="left" vertical="top"/>
    </xf>
    <xf numFmtId="167" fontId="93" fillId="4" borderId="0" xfId="3" applyNumberFormat="1" applyFont="1" applyFill="1" applyBorder="1" applyAlignment="1">
      <alignment horizontal="left" vertical="top" wrapText="1"/>
    </xf>
    <xf numFmtId="167" fontId="93" fillId="4" borderId="42" xfId="3" applyNumberFormat="1" applyFont="1" applyFill="1" applyBorder="1" applyAlignment="1">
      <alignment horizontal="left" vertical="top" wrapText="1"/>
    </xf>
    <xf numFmtId="167" fontId="97" fillId="0" borderId="9" xfId="0" applyNumberFormat="1" applyFont="1" applyFill="1" applyBorder="1" applyAlignment="1">
      <alignment horizontal="left" vertical="top" wrapText="1"/>
    </xf>
    <xf numFmtId="0" fontId="93" fillId="0" borderId="9" xfId="58" applyFont="1" applyFill="1" applyBorder="1" applyAlignment="1">
      <alignment vertical="top" wrapText="1"/>
    </xf>
    <xf numFmtId="0" fontId="97" fillId="0" borderId="9" xfId="58" applyFont="1" applyFill="1" applyBorder="1" applyAlignment="1">
      <alignment vertical="top" wrapText="1"/>
    </xf>
    <xf numFmtId="167" fontId="93" fillId="0" borderId="13" xfId="3" applyNumberFormat="1" applyFont="1" applyFill="1" applyBorder="1" applyAlignment="1">
      <alignment horizontal="left" vertical="top" wrapText="1"/>
    </xf>
    <xf numFmtId="167" fontId="93" fillId="0" borderId="9" xfId="0" applyNumberFormat="1" applyFont="1" applyFill="1" applyBorder="1" applyAlignment="1">
      <alignment horizontal="left" vertical="top" wrapText="1"/>
    </xf>
    <xf numFmtId="167" fontId="93" fillId="0" borderId="9" xfId="0" applyNumberFormat="1" applyFont="1" applyFill="1" applyBorder="1" applyAlignment="1">
      <alignment horizontal="left" vertical="center" wrapText="1"/>
    </xf>
    <xf numFmtId="167" fontId="96" fillId="0" borderId="42" xfId="3" applyNumberFormat="1" applyFont="1" applyBorder="1" applyAlignment="1">
      <alignment horizontal="left" vertical="top" wrapText="1"/>
    </xf>
    <xf numFmtId="167" fontId="93" fillId="4" borderId="9" xfId="0" applyNumberFormat="1" applyFont="1" applyFill="1" applyBorder="1" applyAlignment="1">
      <alignment horizontal="left" vertical="top" wrapText="1"/>
    </xf>
    <xf numFmtId="167" fontId="96" fillId="0" borderId="0" xfId="3" applyNumberFormat="1" applyFont="1" applyFill="1" applyBorder="1" applyAlignment="1">
      <alignment horizontal="left" vertical="top" wrapText="1"/>
    </xf>
    <xf numFmtId="167" fontId="93" fillId="0" borderId="32" xfId="3" applyNumberFormat="1" applyFont="1" applyFill="1" applyBorder="1" applyAlignment="1">
      <alignment horizontal="left" vertical="top" wrapText="1"/>
    </xf>
    <xf numFmtId="167" fontId="93" fillId="4" borderId="51" xfId="3" applyNumberFormat="1" applyFont="1" applyFill="1" applyBorder="1" applyAlignment="1">
      <alignment horizontal="left" vertical="top" wrapText="1"/>
    </xf>
    <xf numFmtId="167" fontId="96" fillId="0" borderId="51" xfId="3" applyNumberFormat="1" applyFont="1" applyBorder="1" applyAlignment="1">
      <alignment horizontal="left" vertical="top" wrapText="1"/>
    </xf>
    <xf numFmtId="0" fontId="57" fillId="0" borderId="0" xfId="0" applyFont="1" applyBorder="1" applyAlignment="1"/>
    <xf numFmtId="0" fontId="57" fillId="0" borderId="25" xfId="0" applyFont="1" applyBorder="1" applyAlignment="1"/>
    <xf numFmtId="167" fontId="98" fillId="3" borderId="6" xfId="3" applyNumberFormat="1" applyFont="1" applyFill="1" applyBorder="1" applyAlignment="1">
      <alignment vertical="top" wrapText="1"/>
    </xf>
    <xf numFmtId="167" fontId="92" fillId="2" borderId="6" xfId="0" applyNumberFormat="1" applyFont="1" applyFill="1" applyBorder="1" applyAlignment="1">
      <alignment vertical="center" wrapText="1"/>
    </xf>
    <xf numFmtId="167" fontId="94" fillId="2" borderId="5" xfId="0" applyNumberFormat="1" applyFont="1" applyFill="1" applyBorder="1" applyAlignment="1">
      <alignment vertical="center" wrapText="1"/>
    </xf>
    <xf numFmtId="167" fontId="101" fillId="0" borderId="0" xfId="3" applyNumberFormat="1" applyFont="1" applyFill="1" applyBorder="1" applyAlignment="1">
      <alignment horizontal="left" vertical="top" wrapText="1"/>
    </xf>
    <xf numFmtId="167" fontId="101" fillId="0" borderId="0" xfId="3" applyNumberFormat="1" applyFont="1" applyBorder="1" applyAlignment="1">
      <alignment horizontal="left" vertical="top" wrapText="1"/>
    </xf>
    <xf numFmtId="0" fontId="57" fillId="0" borderId="0" xfId="0" applyFont="1" applyBorder="1"/>
    <xf numFmtId="167" fontId="93" fillId="43" borderId="9" xfId="0" applyNumberFormat="1" applyFont="1" applyFill="1" applyBorder="1" applyAlignment="1">
      <alignment vertical="top" wrapText="1"/>
    </xf>
    <xf numFmtId="0" fontId="103" fillId="0" borderId="0" xfId="0" applyFont="1"/>
    <xf numFmtId="167" fontId="104" fillId="2" borderId="9" xfId="0" applyNumberFormat="1" applyFont="1" applyFill="1" applyBorder="1" applyAlignment="1">
      <alignment vertical="top" wrapText="1"/>
    </xf>
    <xf numFmtId="167" fontId="104" fillId="2" borderId="11" xfId="0" applyNumberFormat="1" applyFont="1" applyFill="1" applyBorder="1" applyAlignment="1">
      <alignment vertical="top" wrapText="1"/>
    </xf>
    <xf numFmtId="167" fontId="93" fillId="0" borderId="42" xfId="3" applyNumberFormat="1" applyFont="1" applyFill="1" applyBorder="1" applyAlignment="1">
      <alignment vertical="top" wrapText="1"/>
    </xf>
    <xf numFmtId="0" fontId="95" fillId="4" borderId="0" xfId="3" applyFont="1" applyFill="1"/>
    <xf numFmtId="0" fontId="95" fillId="4" borderId="0" xfId="3" applyFont="1" applyFill="1" applyBorder="1"/>
    <xf numFmtId="165" fontId="95" fillId="0" borderId="0" xfId="3" applyNumberFormat="1" applyFont="1" applyFill="1" applyBorder="1" applyAlignment="1">
      <alignment horizontal="center" vertical="center"/>
    </xf>
    <xf numFmtId="2" fontId="95" fillId="0" borderId="0" xfId="3" applyNumberFormat="1" applyFont="1" applyFill="1" applyBorder="1" applyAlignment="1">
      <alignment horizontal="center" vertical="center"/>
    </xf>
    <xf numFmtId="167" fontId="106" fillId="0" borderId="9" xfId="3" applyNumberFormat="1" applyFont="1" applyBorder="1" applyAlignment="1">
      <alignment horizontal="center" vertical="center" wrapText="1"/>
    </xf>
    <xf numFmtId="0" fontId="57" fillId="0" borderId="0" xfId="107" applyFont="1"/>
    <xf numFmtId="0" fontId="95" fillId="2" borderId="13" xfId="107" applyFont="1" applyFill="1" applyBorder="1" applyAlignment="1">
      <alignment horizontal="center" vertical="top" wrapText="1"/>
    </xf>
    <xf numFmtId="0" fontId="95" fillId="36" borderId="13" xfId="107" applyFont="1" applyFill="1" applyBorder="1" applyAlignment="1">
      <alignment horizontal="center" vertical="top" wrapText="1"/>
    </xf>
    <xf numFmtId="0" fontId="95" fillId="2" borderId="32" xfId="107" applyFont="1" applyFill="1" applyBorder="1" applyAlignment="1">
      <alignment horizontal="center" vertical="top" wrapText="1"/>
    </xf>
    <xf numFmtId="0" fontId="95" fillId="2" borderId="41" xfId="107" applyFont="1" applyFill="1" applyBorder="1" applyAlignment="1">
      <alignment horizontal="center" vertical="top" wrapText="1"/>
    </xf>
    <xf numFmtId="0" fontId="95" fillId="2" borderId="11" xfId="107" applyFont="1" applyFill="1" applyBorder="1" applyAlignment="1">
      <alignment horizontal="center" vertical="top" wrapText="1"/>
    </xf>
    <xf numFmtId="0" fontId="95" fillId="36" borderId="11" xfId="107" applyFont="1" applyFill="1" applyBorder="1" applyAlignment="1">
      <alignment horizontal="center" vertical="top" wrapText="1"/>
    </xf>
    <xf numFmtId="0" fontId="95" fillId="2" borderId="15" xfId="107" applyFont="1" applyFill="1" applyBorder="1" applyAlignment="1">
      <alignment horizontal="center" vertical="top" wrapText="1"/>
    </xf>
    <xf numFmtId="0" fontId="95" fillId="2" borderId="14" xfId="107" applyFont="1" applyFill="1" applyBorder="1" applyAlignment="1">
      <alignment horizontal="center" vertical="top" wrapText="1"/>
    </xf>
    <xf numFmtId="0" fontId="95" fillId="0" borderId="0" xfId="107" applyFont="1"/>
    <xf numFmtId="0" fontId="108" fillId="0" borderId="0" xfId="107" applyFont="1"/>
    <xf numFmtId="0" fontId="93" fillId="0" borderId="9" xfId="107" applyFont="1" applyBorder="1" applyAlignment="1">
      <alignment vertical="top" wrapText="1"/>
    </xf>
    <xf numFmtId="0" fontId="95" fillId="2" borderId="10" xfId="107" applyFont="1" applyFill="1" applyBorder="1" applyAlignment="1">
      <alignment horizontal="center" vertical="top" wrapText="1"/>
    </xf>
    <xf numFmtId="0" fontId="95" fillId="2" borderId="5" xfId="107" applyFont="1" applyFill="1" applyBorder="1" applyAlignment="1">
      <alignment horizontal="center" vertical="top" wrapText="1"/>
    </xf>
    <xf numFmtId="0" fontId="95" fillId="0" borderId="0" xfId="58" applyFont="1"/>
    <xf numFmtId="0" fontId="95" fillId="0" borderId="0" xfId="58" applyFont="1" applyFill="1"/>
    <xf numFmtId="0" fontId="95" fillId="0" borderId="0" xfId="58" applyFont="1" applyBorder="1"/>
    <xf numFmtId="0" fontId="95" fillId="0" borderId="0" xfId="58" applyFont="1" applyFill="1" applyBorder="1"/>
    <xf numFmtId="0" fontId="95" fillId="0" borderId="0" xfId="58" applyFont="1" applyFill="1" applyBorder="1" applyAlignment="1">
      <alignment horizontal="center"/>
    </xf>
    <xf numFmtId="174" fontId="104" fillId="0" borderId="0" xfId="58" applyNumberFormat="1" applyFont="1" applyFill="1" applyBorder="1"/>
    <xf numFmtId="165" fontId="95" fillId="0" borderId="0" xfId="58" applyNumberFormat="1" applyFont="1" applyFill="1" applyBorder="1"/>
    <xf numFmtId="165" fontId="95" fillId="0" borderId="0" xfId="58" applyNumberFormat="1" applyFont="1" applyFill="1" applyBorder="1" applyAlignment="1">
      <alignment horizontal="center"/>
    </xf>
    <xf numFmtId="2" fontId="112" fillId="44" borderId="9" xfId="58" applyNumberFormat="1" applyFont="1" applyFill="1" applyBorder="1"/>
    <xf numFmtId="165" fontId="20" fillId="0" borderId="0" xfId="58" applyNumberFormat="1" applyFont="1" applyBorder="1" applyAlignment="1">
      <alignment horizontal="center"/>
    </xf>
    <xf numFmtId="174" fontId="94" fillId="0" borderId="0" xfId="58" applyNumberFormat="1" applyFont="1" applyBorder="1" applyAlignment="1">
      <alignment horizontal="center"/>
    </xf>
    <xf numFmtId="0" fontId="20" fillId="0" borderId="0" xfId="58" applyFont="1" applyBorder="1"/>
    <xf numFmtId="0" fontId="113" fillId="0" borderId="0" xfId="58" applyFont="1" applyFill="1" applyBorder="1" applyAlignment="1">
      <alignment vertical="top" wrapText="1"/>
    </xf>
    <xf numFmtId="0" fontId="20" fillId="0" borderId="0" xfId="58" applyFont="1"/>
    <xf numFmtId="165" fontId="93" fillId="0" borderId="0" xfId="58" applyNumberFormat="1" applyFont="1" applyFill="1" applyBorder="1" applyAlignment="1">
      <alignment horizontal="left" wrapText="1"/>
    </xf>
    <xf numFmtId="174" fontId="98" fillId="0" borderId="0" xfId="58" applyNumberFormat="1" applyFont="1" applyFill="1" applyBorder="1" applyAlignment="1">
      <alignment horizontal="left" wrapText="1"/>
    </xf>
    <xf numFmtId="0" fontId="95" fillId="0" borderId="0" xfId="58" applyFont="1" applyFill="1" applyBorder="1" applyAlignment="1">
      <alignment horizontal="center" vertical="top" wrapText="1"/>
    </xf>
    <xf numFmtId="0" fontId="95" fillId="0" borderId="0" xfId="58" applyFont="1" applyFill="1" applyBorder="1" applyAlignment="1">
      <alignment horizontal="left" vertical="top"/>
    </xf>
    <xf numFmtId="0" fontId="114" fillId="4" borderId="0" xfId="0" applyFont="1" applyFill="1"/>
    <xf numFmtId="0" fontId="114" fillId="0" borderId="0" xfId="0" applyFont="1" applyFill="1"/>
    <xf numFmtId="0" fontId="114" fillId="4" borderId="9" xfId="0" applyFont="1" applyFill="1" applyBorder="1"/>
    <xf numFmtId="0" fontId="97" fillId="0" borderId="9" xfId="0" applyFont="1" applyFill="1" applyBorder="1" applyAlignment="1">
      <alignment horizontal="center" vertical="center" wrapText="1"/>
    </xf>
    <xf numFmtId="165" fontId="97" fillId="0" borderId="9" xfId="0" applyNumberFormat="1" applyFont="1" applyBorder="1" applyAlignment="1">
      <alignment horizontal="center" vertical="center" wrapText="1"/>
    </xf>
    <xf numFmtId="165" fontId="97" fillId="0" borderId="9" xfId="0" applyNumberFormat="1" applyFont="1" applyFill="1" applyBorder="1" applyAlignment="1">
      <alignment horizontal="center" vertical="center" wrapText="1"/>
    </xf>
    <xf numFmtId="0" fontId="114" fillId="4" borderId="0" xfId="0" applyFont="1" applyFill="1" applyBorder="1"/>
    <xf numFmtId="167" fontId="20" fillId="0" borderId="9" xfId="9" applyNumberFormat="1" applyFont="1" applyFill="1" applyBorder="1" applyAlignment="1">
      <alignment vertical="top" wrapText="1"/>
    </xf>
    <xf numFmtId="0" fontId="20" fillId="0" borderId="86" xfId="0" applyFont="1" applyFill="1" applyBorder="1" applyAlignment="1">
      <alignment vertical="top"/>
    </xf>
    <xf numFmtId="0" fontId="20" fillId="0" borderId="9" xfId="0" applyFont="1" applyFill="1" applyBorder="1" applyAlignment="1">
      <alignment vertical="top"/>
    </xf>
    <xf numFmtId="0" fontId="97" fillId="4" borderId="9" xfId="0" applyFont="1" applyFill="1" applyBorder="1" applyAlignment="1">
      <alignment horizontal="center" vertical="center" wrapText="1"/>
    </xf>
    <xf numFmtId="167" fontId="20" fillId="4" borderId="9" xfId="9" applyNumberFormat="1" applyFont="1" applyFill="1" applyBorder="1" applyAlignment="1">
      <alignment vertical="top" wrapText="1"/>
    </xf>
    <xf numFmtId="0" fontId="20" fillId="4" borderId="9" xfId="0" applyFont="1" applyFill="1" applyBorder="1" applyAlignment="1">
      <alignment vertical="top"/>
    </xf>
    <xf numFmtId="0" fontId="94" fillId="2" borderId="9" xfId="0" applyFont="1" applyFill="1" applyBorder="1" applyAlignment="1">
      <alignment vertical="center" wrapText="1"/>
    </xf>
    <xf numFmtId="0" fontId="114" fillId="0" borderId="0" xfId="0" applyFont="1"/>
    <xf numFmtId="0" fontId="93" fillId="4" borderId="9" xfId="0" applyFont="1" applyFill="1" applyBorder="1" applyAlignment="1">
      <alignment vertical="top" wrapText="1"/>
    </xf>
    <xf numFmtId="0" fontId="94" fillId="0" borderId="9" xfId="15" applyFont="1" applyBorder="1" applyAlignment="1">
      <alignment vertical="center" wrapText="1"/>
    </xf>
    <xf numFmtId="0" fontId="114" fillId="0" borderId="0" xfId="0" applyFont="1" applyBorder="1"/>
    <xf numFmtId="0" fontId="93" fillId="0" borderId="9" xfId="0" applyFont="1" applyFill="1" applyBorder="1" applyAlignment="1">
      <alignment vertical="top" wrapText="1"/>
    </xf>
    <xf numFmtId="0" fontId="94" fillId="2" borderId="9" xfId="15" applyFont="1" applyFill="1" applyBorder="1" applyAlignment="1">
      <alignment vertical="center" wrapText="1"/>
    </xf>
    <xf numFmtId="0" fontId="93" fillId="0" borderId="9" xfId="3" applyFont="1" applyBorder="1" applyAlignment="1">
      <alignment vertical="top" wrapText="1"/>
    </xf>
    <xf numFmtId="0" fontId="115" fillId="2" borderId="9" xfId="0" applyFont="1" applyFill="1" applyBorder="1" applyAlignment="1">
      <alignment vertical="center" wrapText="1"/>
    </xf>
    <xf numFmtId="0" fontId="93" fillId="0" borderId="9" xfId="0" applyFont="1" applyBorder="1" applyAlignment="1">
      <alignment horizontal="left" wrapText="1"/>
    </xf>
    <xf numFmtId="0" fontId="116" fillId="0" borderId="9" xfId="0" applyFont="1" applyBorder="1" applyAlignment="1">
      <alignment horizontal="left" vertical="center" wrapText="1"/>
    </xf>
    <xf numFmtId="0" fontId="95" fillId="0" borderId="0" xfId="0" applyFont="1"/>
    <xf numFmtId="0" fontId="95" fillId="0" borderId="0" xfId="0" applyFont="1" applyFill="1"/>
    <xf numFmtId="0" fontId="95" fillId="0" borderId="0" xfId="0" applyFont="1" applyBorder="1"/>
    <xf numFmtId="0" fontId="95" fillId="0" borderId="0" xfId="0" applyFont="1" applyFill="1" applyBorder="1"/>
    <xf numFmtId="0" fontId="93" fillId="0" borderId="9" xfId="58" applyFont="1" applyFill="1" applyBorder="1" applyAlignment="1">
      <alignment wrapText="1"/>
    </xf>
    <xf numFmtId="0" fontId="95" fillId="2" borderId="9" xfId="0" applyFont="1" applyFill="1" applyBorder="1" applyAlignment="1">
      <alignment vertical="top" wrapText="1"/>
    </xf>
    <xf numFmtId="0" fontId="57" fillId="0" borderId="0" xfId="0" applyFont="1" applyFill="1" applyBorder="1"/>
    <xf numFmtId="0" fontId="93" fillId="0" borderId="9" xfId="0" applyFont="1" applyBorder="1" applyAlignment="1">
      <alignment vertical="top" wrapText="1"/>
    </xf>
    <xf numFmtId="0" fontId="57" fillId="0" borderId="25" xfId="0" applyFont="1" applyBorder="1"/>
    <xf numFmtId="0" fontId="114" fillId="0" borderId="9" xfId="0" applyFont="1" applyBorder="1"/>
    <xf numFmtId="0" fontId="94" fillId="2" borderId="10" xfId="0" applyFont="1" applyFill="1" applyBorder="1" applyAlignment="1">
      <alignment vertical="center" wrapText="1"/>
    </xf>
    <xf numFmtId="0" fontId="94" fillId="2" borderId="5" xfId="0" applyFont="1" applyFill="1" applyBorder="1" applyAlignment="1">
      <alignment vertical="center" wrapText="1"/>
    </xf>
    <xf numFmtId="0" fontId="114" fillId="0" borderId="9" xfId="0" applyFont="1" applyBorder="1" applyAlignment="1">
      <alignment horizontal="center" vertical="center"/>
    </xf>
    <xf numFmtId="0" fontId="117" fillId="0" borderId="9" xfId="0" applyFont="1" applyBorder="1" applyAlignment="1">
      <alignment horizontal="center" vertical="center"/>
    </xf>
    <xf numFmtId="0" fontId="117" fillId="0" borderId="9" xfId="0" applyFont="1" applyFill="1" applyBorder="1" applyAlignment="1">
      <alignment horizontal="center" vertical="center"/>
    </xf>
    <xf numFmtId="0" fontId="93" fillId="0" borderId="9" xfId="0" applyFont="1" applyFill="1" applyBorder="1" applyAlignment="1">
      <alignment horizontal="center" vertical="center" wrapText="1"/>
    </xf>
    <xf numFmtId="167" fontId="20" fillId="0" borderId="87" xfId="9" applyNumberFormat="1" applyFont="1" applyFill="1" applyBorder="1" applyAlignment="1">
      <alignment vertical="top" wrapText="1"/>
    </xf>
    <xf numFmtId="0" fontId="93" fillId="0" borderId="9" xfId="0" applyFont="1" applyBorder="1" applyAlignment="1">
      <alignment horizontal="center" vertical="center" wrapText="1"/>
    </xf>
    <xf numFmtId="0" fontId="20" fillId="0" borderId="88" xfId="0" applyFont="1" applyFill="1" applyBorder="1" applyAlignment="1">
      <alignment vertical="top" wrapText="1"/>
    </xf>
    <xf numFmtId="0" fontId="20" fillId="0" borderId="89" xfId="0" applyFont="1" applyFill="1" applyBorder="1" applyAlignment="1">
      <alignment vertical="top"/>
    </xf>
    <xf numFmtId="0" fontId="97" fillId="0" borderId="9" xfId="0" applyFont="1" applyBorder="1" applyAlignment="1">
      <alignment horizontal="center" vertical="center" wrapText="1"/>
    </xf>
    <xf numFmtId="167" fontId="20" fillId="0" borderId="88" xfId="9" applyNumberFormat="1" applyFont="1" applyFill="1" applyBorder="1" applyAlignment="1">
      <alignment vertical="top" wrapText="1"/>
    </xf>
    <xf numFmtId="0" fontId="93" fillId="4" borderId="9" xfId="0" applyFont="1" applyFill="1" applyBorder="1" applyAlignment="1">
      <alignment horizontal="left" vertical="top" wrapText="1"/>
    </xf>
    <xf numFmtId="0" fontId="93" fillId="0" borderId="9" xfId="0" applyFont="1" applyFill="1" applyBorder="1" applyAlignment="1">
      <alignment horizontal="left" vertical="top" wrapText="1"/>
    </xf>
    <xf numFmtId="0" fontId="93" fillId="0" borderId="9" xfId="0" applyFont="1" applyBorder="1" applyAlignment="1">
      <alignment horizontal="left" vertical="top" wrapText="1"/>
    </xf>
    <xf numFmtId="0" fontId="93" fillId="0" borderId="9" xfId="58" applyFont="1" applyBorder="1" applyAlignment="1">
      <alignment wrapText="1"/>
    </xf>
    <xf numFmtId="0" fontId="93" fillId="0" borderId="9" xfId="0" applyFont="1" applyFill="1" applyBorder="1" applyAlignment="1">
      <alignment horizontal="left" wrapText="1"/>
    </xf>
    <xf numFmtId="0" fontId="114" fillId="0" borderId="0" xfId="0" applyFont="1" applyFill="1" applyBorder="1"/>
    <xf numFmtId="0" fontId="108" fillId="0" borderId="25" xfId="110" applyFont="1" applyFill="1" applyBorder="1" applyAlignment="1">
      <alignment vertical="top" wrapText="1"/>
    </xf>
    <xf numFmtId="0" fontId="116" fillId="0" borderId="9" xfId="0" applyFont="1" applyBorder="1" applyAlignment="1">
      <alignment horizontal="right" vertical="top" wrapText="1"/>
    </xf>
    <xf numFmtId="165" fontId="93" fillId="0" borderId="0" xfId="58" applyNumberFormat="1" applyFont="1" applyFill="1" applyBorder="1" applyAlignment="1">
      <alignment horizontal="center" wrapText="1"/>
    </xf>
    <xf numFmtId="165" fontId="97" fillId="0" borderId="0" xfId="58" applyNumberFormat="1" applyFont="1" applyFill="1" applyBorder="1" applyAlignment="1">
      <alignment horizontal="justify" wrapText="1"/>
    </xf>
    <xf numFmtId="0" fontId="93" fillId="0" borderId="0" xfId="58" applyFont="1" applyFill="1" applyBorder="1" applyAlignment="1">
      <alignment horizontal="center" wrapText="1"/>
    </xf>
    <xf numFmtId="0" fontId="95" fillId="0" borderId="25" xfId="58" applyFont="1" applyFill="1" applyBorder="1" applyAlignment="1">
      <alignment horizontal="left" vertical="top"/>
    </xf>
    <xf numFmtId="167" fontId="97" fillId="0" borderId="9" xfId="0" applyNumberFormat="1" applyFont="1" applyFill="1" applyBorder="1" applyAlignment="1">
      <alignment horizontal="center" vertical="center" wrapText="1"/>
    </xf>
    <xf numFmtId="167" fontId="97" fillId="0" borderId="9" xfId="9" applyNumberFormat="1" applyFont="1" applyFill="1" applyBorder="1" applyAlignment="1">
      <alignment vertical="top" wrapText="1"/>
    </xf>
    <xf numFmtId="165" fontId="117" fillId="0" borderId="9" xfId="0" applyNumberFormat="1" applyFont="1" applyFill="1" applyBorder="1" applyAlignment="1">
      <alignment horizontal="center" vertical="center"/>
    </xf>
    <xf numFmtId="0" fontId="95" fillId="0" borderId="9" xfId="0" applyFont="1" applyBorder="1" applyAlignment="1">
      <alignment vertical="top" wrapText="1"/>
    </xf>
    <xf numFmtId="0" fontId="97" fillId="0" borderId="9" xfId="0" applyFont="1" applyFill="1" applyBorder="1" applyAlignment="1">
      <alignment horizontal="left" vertical="top" wrapText="1"/>
    </xf>
    <xf numFmtId="0" fontId="116" fillId="0" borderId="9" xfId="0" applyFont="1" applyFill="1" applyBorder="1" applyAlignment="1">
      <alignment horizontal="left" vertical="center" wrapText="1"/>
    </xf>
    <xf numFmtId="4" fontId="97" fillId="0" borderId="9" xfId="0" applyNumberFormat="1" applyFont="1" applyFill="1" applyBorder="1" applyAlignment="1">
      <alignment horizontal="center" vertical="center" wrapText="1"/>
    </xf>
    <xf numFmtId="0" fontId="93" fillId="0" borderId="13" xfId="3" applyFont="1" applyBorder="1" applyAlignment="1">
      <alignment vertical="top" wrapText="1"/>
    </xf>
    <xf numFmtId="0" fontId="97" fillId="0" borderId="9" xfId="3" applyFont="1" applyBorder="1" applyAlignment="1">
      <alignment horizontal="left" vertical="top" wrapText="1"/>
    </xf>
    <xf numFmtId="0" fontId="93" fillId="0" borderId="9" xfId="3" applyFont="1" applyBorder="1" applyAlignment="1">
      <alignment horizontal="left" vertical="top" wrapText="1"/>
    </xf>
    <xf numFmtId="0" fontId="94" fillId="0" borderId="9" xfId="0" applyFont="1" applyBorder="1" applyAlignment="1">
      <alignment horizontal="center" vertical="center"/>
    </xf>
    <xf numFmtId="0" fontId="114" fillId="0" borderId="9" xfId="0" applyFont="1" applyFill="1" applyBorder="1"/>
    <xf numFmtId="0" fontId="97" fillId="0" borderId="5" xfId="0" applyFont="1" applyBorder="1" applyAlignment="1">
      <alignment horizontal="center" vertical="center" wrapText="1"/>
    </xf>
    <xf numFmtId="0" fontId="20" fillId="0" borderId="9" xfId="108" applyFont="1" applyFill="1" applyBorder="1" applyAlignment="1">
      <alignment horizontal="left" vertical="top" wrapText="1"/>
    </xf>
    <xf numFmtId="0" fontId="93" fillId="0" borderId="9" xfId="0" applyFont="1" applyFill="1" applyBorder="1" applyAlignment="1">
      <alignment vertical="center" wrapText="1"/>
    </xf>
    <xf numFmtId="0" fontId="92" fillId="0" borderId="0" xfId="0" applyFont="1" applyFill="1" applyBorder="1" applyAlignment="1">
      <alignment horizontal="justify" vertical="center" wrapText="1"/>
    </xf>
    <xf numFmtId="0" fontId="20" fillId="0" borderId="0" xfId="0" applyFont="1" applyFill="1" applyBorder="1" applyAlignment="1">
      <alignment horizontal="center" vertical="center" wrapText="1"/>
    </xf>
    <xf numFmtId="0" fontId="92" fillId="0" borderId="0" xfId="0" applyFont="1" applyFill="1" applyBorder="1" applyAlignment="1">
      <alignment vertical="center" wrapText="1"/>
    </xf>
    <xf numFmtId="0" fontId="94" fillId="0" borderId="0" xfId="0" applyFont="1" applyFill="1" applyBorder="1" applyAlignment="1">
      <alignment vertical="center" wrapText="1"/>
    </xf>
    <xf numFmtId="0" fontId="94" fillId="0" borderId="25" xfId="0" applyFont="1" applyFill="1" applyBorder="1" applyAlignment="1">
      <alignment vertical="center" wrapText="1"/>
    </xf>
    <xf numFmtId="0" fontId="94" fillId="0" borderId="9" xfId="0" applyFont="1" applyBorder="1"/>
    <xf numFmtId="0" fontId="93" fillId="0" borderId="9" xfId="0" applyFont="1" applyFill="1" applyBorder="1" applyAlignment="1">
      <alignment wrapText="1"/>
    </xf>
    <xf numFmtId="165" fontId="97" fillId="0" borderId="0" xfId="58" applyNumberFormat="1" applyFont="1" applyFill="1" applyBorder="1" applyAlignment="1">
      <alignment horizontal="center" wrapText="1"/>
    </xf>
    <xf numFmtId="165" fontId="93" fillId="0" borderId="0" xfId="58" applyNumberFormat="1" applyFont="1" applyFill="1" applyBorder="1" applyAlignment="1">
      <alignment horizontal="justify" wrapText="1"/>
    </xf>
    <xf numFmtId="0" fontId="95" fillId="0" borderId="9" xfId="58" applyFont="1" applyBorder="1"/>
    <xf numFmtId="0" fontId="93" fillId="0" borderId="9" xfId="58" applyFont="1" applyBorder="1" applyAlignment="1">
      <alignment horizontal="center" vertical="center"/>
    </xf>
    <xf numFmtId="165" fontId="93" fillId="0" borderId="9" xfId="58" applyNumberFormat="1" applyFont="1" applyFill="1" applyBorder="1" applyAlignment="1">
      <alignment horizontal="center" vertical="center"/>
    </xf>
    <xf numFmtId="165" fontId="97" fillId="0" borderId="9" xfId="3" applyNumberFormat="1" applyFont="1" applyFill="1" applyBorder="1" applyAlignment="1">
      <alignment horizontal="center" vertical="center" wrapText="1"/>
    </xf>
    <xf numFmtId="165" fontId="97" fillId="0" borderId="5" xfId="3" applyNumberFormat="1" applyFont="1" applyFill="1" applyBorder="1" applyAlignment="1">
      <alignment horizontal="center" vertical="center" wrapText="1"/>
    </xf>
    <xf numFmtId="0" fontId="95" fillId="2" borderId="10" xfId="58" applyFont="1" applyFill="1" applyBorder="1" applyAlignment="1">
      <alignment horizontal="left" vertical="top"/>
    </xf>
    <xf numFmtId="0" fontId="95" fillId="2" borderId="5" xfId="58" applyFont="1" applyFill="1" applyBorder="1" applyAlignment="1">
      <alignment horizontal="left" vertical="top"/>
    </xf>
    <xf numFmtId="0" fontId="93" fillId="0" borderId="9" xfId="3" applyFont="1" applyFill="1" applyBorder="1" applyAlignment="1">
      <alignment horizontal="center" wrapText="1"/>
    </xf>
    <xf numFmtId="0" fontId="93" fillId="0" borderId="9" xfId="58" applyFont="1" applyBorder="1" applyAlignment="1">
      <alignment horizontal="center" wrapText="1"/>
    </xf>
    <xf numFmtId="0" fontId="93" fillId="0" borderId="5" xfId="3" applyFont="1" applyFill="1" applyBorder="1" applyAlignment="1">
      <alignment horizontal="center" wrapText="1"/>
    </xf>
    <xf numFmtId="0" fontId="20" fillId="0" borderId="9" xfId="58" applyFont="1" applyFill="1" applyBorder="1" applyAlignment="1">
      <alignment vertical="top"/>
    </xf>
    <xf numFmtId="0" fontId="95" fillId="0" borderId="9" xfId="58" applyFont="1" applyBorder="1" applyAlignment="1">
      <alignment horizontal="left" vertical="top" wrapText="1"/>
    </xf>
    <xf numFmtId="0" fontId="93" fillId="0" borderId="9" xfId="58" applyFont="1" applyBorder="1" applyAlignment="1">
      <alignment vertical="top" wrapText="1"/>
    </xf>
    <xf numFmtId="0" fontId="95" fillId="2" borderId="9" xfId="58" applyFont="1" applyFill="1" applyBorder="1" applyAlignment="1">
      <alignment wrapText="1"/>
    </xf>
    <xf numFmtId="0" fontId="20" fillId="0" borderId="90" xfId="58" applyFont="1" applyBorder="1" applyAlignment="1">
      <alignment horizontal="left" vertical="top" wrapText="1"/>
    </xf>
    <xf numFmtId="0" fontId="95" fillId="2" borderId="9" xfId="58" applyFont="1" applyFill="1" applyBorder="1" applyAlignment="1">
      <alignment horizontal="left" vertical="top" wrapText="1"/>
    </xf>
    <xf numFmtId="0" fontId="95" fillId="0" borderId="90" xfId="58" applyFont="1" applyBorder="1" applyAlignment="1">
      <alignment horizontal="left" vertical="center" wrapText="1"/>
    </xf>
    <xf numFmtId="0" fontId="95" fillId="2" borderId="9" xfId="58" applyFont="1" applyFill="1" applyBorder="1" applyAlignment="1">
      <alignment vertical="top" wrapText="1"/>
    </xf>
    <xf numFmtId="0" fontId="97" fillId="0" borderId="9" xfId="58" applyFont="1" applyBorder="1" applyAlignment="1">
      <alignment horizontal="left" wrapText="1"/>
    </xf>
    <xf numFmtId="0" fontId="93" fillId="0" borderId="9" xfId="58" applyFont="1" applyBorder="1" applyAlignment="1">
      <alignment horizontal="left" wrapText="1"/>
    </xf>
    <xf numFmtId="0" fontId="95" fillId="0" borderId="0" xfId="58" applyFont="1" applyBorder="1" applyAlignment="1">
      <alignment horizontal="center"/>
    </xf>
    <xf numFmtId="0" fontId="93" fillId="0" borderId="9" xfId="58" applyFont="1" applyFill="1" applyBorder="1" applyAlignment="1">
      <alignment horizontal="left" wrapText="1"/>
    </xf>
    <xf numFmtId="0" fontId="95" fillId="0" borderId="0" xfId="58" applyFont="1" applyBorder="1" applyAlignment="1"/>
    <xf numFmtId="0" fontId="97" fillId="0" borderId="9" xfId="58" applyFont="1" applyFill="1" applyBorder="1" applyAlignment="1">
      <alignment horizontal="center" vertical="center" wrapText="1"/>
    </xf>
    <xf numFmtId="0" fontId="97" fillId="0" borderId="5" xfId="58" applyFont="1" applyFill="1" applyBorder="1" applyAlignment="1">
      <alignment horizontal="center" vertical="center" wrapText="1"/>
    </xf>
    <xf numFmtId="0" fontId="93" fillId="0" borderId="9" xfId="58" applyFont="1" applyBorder="1" applyAlignment="1">
      <alignment horizontal="center" vertical="center" wrapText="1"/>
    </xf>
    <xf numFmtId="0" fontId="97" fillId="0" borderId="5" xfId="58" applyFont="1" applyBorder="1" applyAlignment="1">
      <alignment horizontal="center" vertical="center" wrapText="1"/>
    </xf>
    <xf numFmtId="0" fontId="95" fillId="0" borderId="9" xfId="58" applyFont="1" applyFill="1" applyBorder="1" applyAlignment="1">
      <alignment horizontal="left" vertical="top" wrapText="1"/>
    </xf>
    <xf numFmtId="0" fontId="20" fillId="0" borderId="91" xfId="58" applyFont="1" applyFill="1" applyBorder="1" applyAlignment="1">
      <alignment horizontal="left" vertical="top" wrapText="1"/>
    </xf>
    <xf numFmtId="165" fontId="97" fillId="0" borderId="9" xfId="0" applyNumberFormat="1" applyFont="1" applyFill="1" applyBorder="1" applyAlignment="1">
      <alignment horizontal="center" wrapText="1"/>
    </xf>
    <xf numFmtId="0" fontId="95" fillId="0" borderId="9" xfId="58" applyFont="1" applyFill="1" applyBorder="1"/>
    <xf numFmtId="0" fontId="93" fillId="0" borderId="9" xfId="58" applyFont="1" applyFill="1" applyBorder="1" applyAlignment="1">
      <alignment horizontal="center" vertical="center"/>
    </xf>
    <xf numFmtId="0" fontId="97" fillId="0" borderId="9" xfId="58" applyFont="1" applyBorder="1" applyAlignment="1">
      <alignment horizontal="center" vertical="center" wrapText="1"/>
    </xf>
    <xf numFmtId="0" fontId="20" fillId="0" borderId="0" xfId="3" applyFont="1" applyBorder="1" applyAlignment="1">
      <alignment horizontal="left" vertical="top" wrapText="1"/>
    </xf>
    <xf numFmtId="3" fontId="93" fillId="0" borderId="9" xfId="58" applyNumberFormat="1" applyFont="1" applyFill="1" applyBorder="1" applyAlignment="1">
      <alignment horizontal="center" vertical="center"/>
    </xf>
    <xf numFmtId="167" fontId="20" fillId="0" borderId="9" xfId="9" applyNumberFormat="1" applyFont="1" applyFill="1" applyBorder="1" applyAlignment="1">
      <alignment horizontal="left" vertical="top" wrapText="1"/>
    </xf>
    <xf numFmtId="0" fontId="20" fillId="0" borderId="86" xfId="58" applyFont="1" applyFill="1" applyBorder="1" applyAlignment="1">
      <alignment vertical="top"/>
    </xf>
    <xf numFmtId="0" fontId="93" fillId="0" borderId="9" xfId="58" applyFont="1" applyFill="1" applyBorder="1" applyAlignment="1">
      <alignment horizontal="center" vertical="center" wrapText="1"/>
    </xf>
    <xf numFmtId="0" fontId="20" fillId="0" borderId="90" xfId="58" applyFont="1" applyFill="1" applyBorder="1" applyAlignment="1">
      <alignment horizontal="left" vertical="top" wrapText="1"/>
    </xf>
    <xf numFmtId="0" fontId="93" fillId="0" borderId="13" xfId="58" applyFont="1" applyFill="1" applyBorder="1" applyAlignment="1">
      <alignment wrapText="1"/>
    </xf>
    <xf numFmtId="0" fontId="95" fillId="2" borderId="13" xfId="58" applyFont="1" applyFill="1" applyBorder="1" applyAlignment="1">
      <alignment vertical="top" wrapText="1"/>
    </xf>
    <xf numFmtId="165" fontId="97" fillId="0" borderId="0" xfId="0" applyNumberFormat="1" applyFont="1" applyFill="1" applyBorder="1" applyAlignment="1">
      <alignment horizontal="center" vertical="center" wrapText="1"/>
    </xf>
    <xf numFmtId="0" fontId="97" fillId="0" borderId="0" xfId="0" applyFont="1" applyFill="1" applyBorder="1" applyAlignment="1">
      <alignment horizontal="center" vertical="center" wrapText="1"/>
    </xf>
    <xf numFmtId="0" fontId="94" fillId="0" borderId="6" xfId="0" applyFont="1" applyFill="1" applyBorder="1" applyAlignment="1">
      <alignment vertical="center" wrapText="1"/>
    </xf>
    <xf numFmtId="0" fontId="93" fillId="0" borderId="51" xfId="3" applyFont="1" applyFill="1" applyBorder="1" applyAlignment="1">
      <alignment horizontal="left" vertical="top" wrapText="1"/>
    </xf>
    <xf numFmtId="0" fontId="93" fillId="0" borderId="9" xfId="3" applyFont="1" applyFill="1" applyBorder="1" applyAlignment="1">
      <alignment horizontal="left" vertical="top" wrapText="1"/>
    </xf>
    <xf numFmtId="0" fontId="20" fillId="0" borderId="0" xfId="58" applyFont="1" applyBorder="1" applyAlignment="1">
      <alignment horizontal="center"/>
    </xf>
    <xf numFmtId="0" fontId="20" fillId="0" borderId="0" xfId="58" applyFont="1" applyBorder="1" applyAlignment="1">
      <alignment horizontal="justify"/>
    </xf>
    <xf numFmtId="2" fontId="20" fillId="0" borderId="0" xfId="58" applyNumberFormat="1" applyFont="1" applyBorder="1" applyAlignment="1">
      <alignment horizontal="center"/>
    </xf>
    <xf numFmtId="0" fontId="97" fillId="0" borderId="9" xfId="58" applyFont="1" applyBorder="1" applyAlignment="1">
      <alignment horizontal="right" vertical="top" wrapText="1"/>
    </xf>
    <xf numFmtId="0" fontId="20" fillId="36" borderId="13" xfId="58" applyFont="1" applyFill="1" applyBorder="1" applyAlignment="1">
      <alignment vertical="top" wrapText="1"/>
    </xf>
    <xf numFmtId="167" fontId="97" fillId="0" borderId="0" xfId="3" applyNumberFormat="1" applyFont="1" applyFill="1" applyBorder="1" applyAlignment="1">
      <alignment horizontal="center" vertical="center"/>
    </xf>
    <xf numFmtId="165" fontId="97" fillId="0" borderId="5" xfId="0" applyNumberFormat="1" applyFont="1" applyFill="1" applyBorder="1" applyAlignment="1">
      <alignment horizontal="center" vertical="center" wrapText="1"/>
    </xf>
    <xf numFmtId="0" fontId="94" fillId="0" borderId="9" xfId="0" applyFont="1" applyFill="1" applyBorder="1" applyAlignment="1">
      <alignment vertical="center" wrapText="1"/>
    </xf>
    <xf numFmtId="0" fontId="94" fillId="0" borderId="9" xfId="0" applyFont="1" applyFill="1" applyBorder="1" applyAlignment="1">
      <alignment vertical="center"/>
    </xf>
    <xf numFmtId="0" fontId="97" fillId="0" borderId="5" xfId="0" applyFont="1" applyFill="1" applyBorder="1" applyAlignment="1">
      <alignment horizontal="center" vertical="center" wrapText="1"/>
    </xf>
    <xf numFmtId="0" fontId="20" fillId="0" borderId="9" xfId="0" applyFont="1" applyFill="1" applyBorder="1" applyAlignment="1">
      <alignment vertical="top" wrapText="1"/>
    </xf>
    <xf numFmtId="0" fontId="20" fillId="0" borderId="4" xfId="0" applyFont="1" applyFill="1" applyBorder="1" applyAlignment="1">
      <alignment vertical="top"/>
    </xf>
    <xf numFmtId="0" fontId="20" fillId="0" borderId="9" xfId="0" quotePrefix="1" applyFont="1" applyFill="1" applyBorder="1" applyAlignment="1">
      <alignment horizontal="left" vertical="top" wrapText="1"/>
    </xf>
    <xf numFmtId="0" fontId="97" fillId="0" borderId="14" xfId="0" applyFont="1" applyFill="1" applyBorder="1" applyAlignment="1">
      <alignment horizontal="center" vertical="center" wrapText="1"/>
    </xf>
    <xf numFmtId="0" fontId="97" fillId="0" borderId="11" xfId="0" applyFont="1" applyFill="1" applyBorder="1" applyAlignment="1">
      <alignment horizontal="center" vertical="center" wrapText="1"/>
    </xf>
    <xf numFmtId="0" fontId="20" fillId="0" borderId="92" xfId="0" applyFont="1" applyFill="1" applyBorder="1" applyAlignment="1">
      <alignment vertical="top" wrapText="1"/>
    </xf>
    <xf numFmtId="0" fontId="94" fillId="0" borderId="9" xfId="15" applyFont="1" applyFill="1" applyBorder="1" applyAlignment="1">
      <alignment vertical="center" wrapText="1"/>
    </xf>
    <xf numFmtId="0" fontId="115" fillId="0" borderId="9" xfId="0" applyFont="1" applyFill="1" applyBorder="1" applyAlignment="1">
      <alignment vertical="center" wrapText="1"/>
    </xf>
    <xf numFmtId="0" fontId="97" fillId="0" borderId="9" xfId="0" applyFont="1" applyFill="1" applyBorder="1" applyAlignment="1">
      <alignment horizontal="left" wrapText="1"/>
    </xf>
    <xf numFmtId="0" fontId="95" fillId="0" borderId="9" xfId="0" applyFont="1" applyFill="1" applyBorder="1" applyAlignment="1">
      <alignment vertical="top" wrapText="1"/>
    </xf>
    <xf numFmtId="0" fontId="93" fillId="0" borderId="13" xfId="0" applyFont="1" applyFill="1" applyBorder="1" applyAlignment="1">
      <alignment vertical="top" wrapText="1"/>
    </xf>
    <xf numFmtId="0" fontId="57" fillId="0" borderId="6" xfId="0" applyFont="1" applyBorder="1"/>
    <xf numFmtId="0" fontId="95" fillId="2" borderId="10" xfId="58" applyFont="1" applyFill="1" applyBorder="1" applyAlignment="1">
      <alignment vertical="top" wrapText="1"/>
    </xf>
    <xf numFmtId="0" fontId="95" fillId="2" borderId="44" xfId="58" applyFont="1" applyFill="1" applyBorder="1" applyAlignment="1">
      <alignment vertical="top" wrapText="1"/>
    </xf>
    <xf numFmtId="0" fontId="98" fillId="0" borderId="9" xfId="0" applyFont="1" applyFill="1" applyBorder="1" applyAlignment="1">
      <alignment horizontal="left" vertical="top" wrapText="1"/>
    </xf>
    <xf numFmtId="0" fontId="94" fillId="45" borderId="10" xfId="0" applyFont="1" applyFill="1" applyBorder="1" applyAlignment="1">
      <alignment vertical="center" wrapText="1"/>
    </xf>
    <xf numFmtId="0" fontId="95" fillId="2" borderId="44" xfId="58" applyFont="1" applyFill="1" applyBorder="1" applyAlignment="1">
      <alignment horizontal="left" vertical="top"/>
    </xf>
    <xf numFmtId="1" fontId="97" fillId="0" borderId="9" xfId="0" applyNumberFormat="1" applyFont="1" applyFill="1" applyBorder="1" applyAlignment="1">
      <alignment horizontal="center" vertical="center" wrapText="1"/>
    </xf>
    <xf numFmtId="167" fontId="20" fillId="0" borderId="9" xfId="0" applyNumberFormat="1" applyFont="1" applyFill="1" applyBorder="1" applyAlignment="1">
      <alignment vertical="top" wrapText="1"/>
    </xf>
    <xf numFmtId="0" fontId="20" fillId="3" borderId="89" xfId="0" applyFont="1" applyFill="1" applyBorder="1" applyAlignment="1">
      <alignment vertical="top"/>
    </xf>
    <xf numFmtId="0" fontId="94" fillId="3" borderId="9" xfId="0" applyFont="1" applyFill="1" applyBorder="1" applyAlignment="1">
      <alignment vertical="center" wrapText="1"/>
    </xf>
    <xf numFmtId="0" fontId="114" fillId="3" borderId="10" xfId="0" applyFont="1" applyFill="1" applyBorder="1"/>
    <xf numFmtId="0" fontId="93" fillId="3" borderId="9" xfId="0" applyFont="1" applyFill="1" applyBorder="1" applyAlignment="1">
      <alignment wrapText="1"/>
    </xf>
    <xf numFmtId="0" fontId="94" fillId="3" borderId="9" xfId="15" applyFont="1" applyFill="1" applyBorder="1" applyAlignment="1">
      <alignment vertical="center" wrapText="1"/>
    </xf>
    <xf numFmtId="0" fontId="57" fillId="4" borderId="0" xfId="0" applyFont="1" applyFill="1"/>
    <xf numFmtId="0" fontId="115" fillId="3" borderId="9" xfId="0" applyFont="1" applyFill="1" applyBorder="1" applyAlignment="1">
      <alignment vertical="center" wrapText="1"/>
    </xf>
    <xf numFmtId="0" fontId="57" fillId="4" borderId="0" xfId="0" applyFont="1" applyFill="1" applyBorder="1"/>
    <xf numFmtId="0" fontId="93" fillId="4" borderId="9" xfId="0" applyFont="1" applyFill="1" applyBorder="1" applyAlignment="1">
      <alignment horizontal="left" wrapText="1"/>
    </xf>
    <xf numFmtId="0" fontId="116" fillId="4" borderId="9" xfId="0" applyFont="1" applyFill="1" applyBorder="1" applyAlignment="1">
      <alignment horizontal="left" vertical="center" wrapText="1"/>
    </xf>
    <xf numFmtId="0" fontId="95" fillId="4" borderId="0" xfId="0" applyFont="1" applyFill="1"/>
    <xf numFmtId="0" fontId="95" fillId="4" borderId="0" xfId="0" applyFont="1" applyFill="1" applyBorder="1"/>
    <xf numFmtId="0" fontId="93" fillId="4" borderId="9" xfId="0" applyFont="1" applyFill="1" applyBorder="1" applyAlignment="1">
      <alignment wrapText="1"/>
    </xf>
    <xf numFmtId="0" fontId="95" fillId="3" borderId="9" xfId="0" applyFont="1" applyFill="1" applyBorder="1" applyAlignment="1">
      <alignment vertical="top" wrapText="1"/>
    </xf>
    <xf numFmtId="167" fontId="97" fillId="0" borderId="9" xfId="58" applyNumberFormat="1" applyFont="1" applyFill="1" applyBorder="1" applyAlignment="1">
      <alignment horizontal="center" vertical="center"/>
    </xf>
    <xf numFmtId="165" fontId="93" fillId="0" borderId="9" xfId="3" applyNumberFormat="1" applyFont="1" applyFill="1" applyBorder="1" applyAlignment="1">
      <alignment horizontal="center" vertical="center" wrapText="1"/>
    </xf>
    <xf numFmtId="3" fontId="97" fillId="0" borderId="9" xfId="58" applyNumberFormat="1" applyFont="1" applyFill="1" applyBorder="1" applyAlignment="1">
      <alignment horizontal="center" vertical="center"/>
    </xf>
    <xf numFmtId="3" fontId="97" fillId="0" borderId="9" xfId="3" applyNumberFormat="1" applyFont="1" applyFill="1" applyBorder="1" applyAlignment="1">
      <alignment horizontal="center" vertical="center"/>
    </xf>
    <xf numFmtId="0" fontId="93" fillId="0" borderId="9" xfId="3" applyFont="1" applyFill="1" applyBorder="1" applyAlignment="1">
      <alignment horizontal="center" vertical="center" wrapText="1"/>
    </xf>
    <xf numFmtId="0" fontId="92" fillId="0" borderId="9" xfId="58" applyFont="1" applyFill="1" applyBorder="1" applyAlignment="1">
      <alignment vertical="center" wrapText="1"/>
    </xf>
    <xf numFmtId="0" fontId="121" fillId="0" borderId="9" xfId="58" applyFont="1" applyFill="1" applyBorder="1" applyAlignment="1">
      <alignment horizontal="center" vertical="center" wrapText="1"/>
    </xf>
    <xf numFmtId="0" fontId="20" fillId="0" borderId="89" xfId="58" applyFont="1" applyFill="1" applyBorder="1" applyAlignment="1">
      <alignment vertical="top"/>
    </xf>
    <xf numFmtId="167" fontId="95" fillId="0" borderId="9" xfId="9" applyNumberFormat="1" applyFont="1" applyFill="1" applyBorder="1" applyAlignment="1">
      <alignment horizontal="left" vertical="top" wrapText="1"/>
    </xf>
    <xf numFmtId="167" fontId="97" fillId="0" borderId="9" xfId="3" applyNumberFormat="1" applyFont="1" applyFill="1" applyBorder="1" applyAlignment="1">
      <alignment horizontal="center" vertical="center"/>
    </xf>
    <xf numFmtId="0" fontId="93" fillId="0" borderId="9" xfId="58" applyFont="1" applyBorder="1" applyAlignment="1">
      <alignment vertical="center" wrapText="1"/>
    </xf>
    <xf numFmtId="0" fontId="93" fillId="0" borderId="4" xfId="58" applyFont="1" applyBorder="1" applyAlignment="1">
      <alignment vertical="center" wrapText="1"/>
    </xf>
    <xf numFmtId="0" fontId="95" fillId="2" borderId="4" xfId="58" applyFont="1" applyFill="1" applyBorder="1" applyAlignment="1">
      <alignment wrapText="1"/>
    </xf>
    <xf numFmtId="0" fontId="95" fillId="2" borderId="4" xfId="58" applyFont="1" applyFill="1" applyBorder="1" applyAlignment="1">
      <alignment vertical="top" wrapText="1"/>
    </xf>
    <xf numFmtId="0" fontId="122" fillId="0" borderId="0" xfId="58" applyFont="1"/>
    <xf numFmtId="0" fontId="122" fillId="0" borderId="0" xfId="58" applyFont="1" applyFill="1"/>
    <xf numFmtId="0" fontId="122" fillId="0" borderId="9" xfId="58" applyFont="1" applyBorder="1"/>
    <xf numFmtId="0" fontId="123" fillId="0" borderId="9" xfId="58" applyFont="1" applyBorder="1" applyAlignment="1">
      <alignment vertical="center"/>
    </xf>
    <xf numFmtId="0" fontId="123" fillId="0" borderId="9" xfId="58" applyFont="1" applyFill="1" applyBorder="1" applyAlignment="1">
      <alignment vertical="center"/>
    </xf>
    <xf numFmtId="167" fontId="124" fillId="0" borderId="9" xfId="58" applyNumberFormat="1" applyFont="1" applyFill="1" applyBorder="1" applyAlignment="1">
      <alignment horizontal="center" vertical="center"/>
    </xf>
    <xf numFmtId="0" fontId="124" fillId="0" borderId="9" xfId="58" applyFont="1" applyFill="1" applyBorder="1" applyAlignment="1">
      <alignment horizontal="center" vertical="center" wrapText="1"/>
    </xf>
    <xf numFmtId="0" fontId="122" fillId="2" borderId="10" xfId="58" applyFont="1" applyFill="1" applyBorder="1" applyAlignment="1">
      <alignment horizontal="left" vertical="top"/>
    </xf>
    <xf numFmtId="0" fontId="122" fillId="2" borderId="44" xfId="58" applyFont="1" applyFill="1" applyBorder="1" applyAlignment="1">
      <alignment horizontal="left" vertical="top"/>
    </xf>
    <xf numFmtId="0" fontId="124" fillId="0" borderId="9" xfId="58" applyFont="1" applyBorder="1" applyAlignment="1">
      <alignment horizontal="center" vertical="center" wrapText="1"/>
    </xf>
    <xf numFmtId="3" fontId="124" fillId="0" borderId="9" xfId="58" applyNumberFormat="1" applyFont="1" applyFill="1" applyBorder="1" applyAlignment="1">
      <alignment horizontal="center" vertical="center"/>
    </xf>
    <xf numFmtId="167" fontId="41" fillId="0" borderId="9" xfId="9" applyNumberFormat="1" applyFont="1" applyFill="1" applyBorder="1" applyAlignment="1">
      <alignment horizontal="left" vertical="top" wrapText="1"/>
    </xf>
    <xf numFmtId="0" fontId="41" fillId="0" borderId="86" xfId="58" applyFont="1" applyFill="1" applyBorder="1" applyAlignment="1">
      <alignment vertical="top"/>
    </xf>
    <xf numFmtId="0" fontId="125" fillId="0" borderId="9" xfId="58" applyFont="1" applyFill="1" applyBorder="1" applyAlignment="1">
      <alignment vertical="center" wrapText="1"/>
    </xf>
    <xf numFmtId="0" fontId="122" fillId="0" borderId="9" xfId="58" applyFont="1" applyFill="1" applyBorder="1"/>
    <xf numFmtId="0" fontId="124" fillId="0" borderId="5" xfId="58" applyFont="1" applyBorder="1" applyAlignment="1">
      <alignment horizontal="center" vertical="center" wrapText="1"/>
    </xf>
    <xf numFmtId="0" fontId="126" fillId="0" borderId="9" xfId="58" applyFont="1" applyFill="1" applyBorder="1" applyAlignment="1">
      <alignment horizontal="center" vertical="center" wrapText="1"/>
    </xf>
    <xf numFmtId="0" fontId="41" fillId="0" borderId="89" xfId="58" applyFont="1" applyFill="1" applyBorder="1" applyAlignment="1">
      <alignment vertical="top"/>
    </xf>
    <xf numFmtId="0" fontId="124" fillId="0" borderId="5" xfId="58" applyFont="1" applyFill="1" applyBorder="1" applyAlignment="1">
      <alignment horizontal="center" vertical="center" wrapText="1"/>
    </xf>
    <xf numFmtId="167" fontId="122" fillId="0" borderId="9" xfId="9" applyNumberFormat="1" applyFont="1" applyFill="1" applyBorder="1" applyAlignment="1">
      <alignment horizontal="left" vertical="top" wrapText="1"/>
    </xf>
    <xf numFmtId="165" fontId="97" fillId="0" borderId="9" xfId="58" applyNumberFormat="1" applyFont="1" applyFill="1" applyBorder="1" applyAlignment="1">
      <alignment horizontal="center" vertical="center" wrapText="1"/>
    </xf>
    <xf numFmtId="0" fontId="93" fillId="0" borderId="9" xfId="58" applyFont="1" applyFill="1" applyBorder="1" applyAlignment="1">
      <alignment vertical="center" wrapText="1"/>
    </xf>
    <xf numFmtId="167" fontId="124" fillId="0" borderId="9" xfId="58" applyNumberFormat="1" applyFont="1" applyFill="1" applyBorder="1" applyAlignment="1">
      <alignment horizontal="center" vertical="center" wrapText="1"/>
    </xf>
    <xf numFmtId="165" fontId="124" fillId="0" borderId="9" xfId="58" applyNumberFormat="1" applyFont="1" applyFill="1" applyBorder="1" applyAlignment="1">
      <alignment horizontal="center" vertical="center" wrapText="1"/>
    </xf>
    <xf numFmtId="0" fontId="123" fillId="0" borderId="9" xfId="58" applyFont="1" applyBorder="1" applyAlignment="1">
      <alignment horizontal="center" vertical="center"/>
    </xf>
    <xf numFmtId="0" fontId="123" fillId="0" borderId="9" xfId="58" applyFont="1" applyFill="1" applyBorder="1" applyAlignment="1">
      <alignment horizontal="center" vertical="center"/>
    </xf>
    <xf numFmtId="167" fontId="41" fillId="0" borderId="9" xfId="9" applyNumberFormat="1" applyFont="1" applyFill="1" applyBorder="1" applyAlignment="1">
      <alignment vertical="top" wrapText="1"/>
    </xf>
    <xf numFmtId="165" fontId="93" fillId="0" borderId="9" xfId="58" applyNumberFormat="1" applyFont="1" applyFill="1" applyBorder="1" applyAlignment="1">
      <alignment horizontal="center" wrapText="1"/>
    </xf>
    <xf numFmtId="165" fontId="93" fillId="0" borderId="9" xfId="3" applyNumberFormat="1" applyFont="1" applyFill="1" applyBorder="1" applyAlignment="1">
      <alignment horizontal="center" wrapText="1"/>
    </xf>
    <xf numFmtId="3" fontId="97" fillId="4" borderId="9" xfId="58" applyNumberFormat="1" applyFont="1" applyFill="1" applyBorder="1" applyAlignment="1">
      <alignment horizontal="center" vertical="center"/>
    </xf>
    <xf numFmtId="167" fontId="97" fillId="0" borderId="9" xfId="3" applyNumberFormat="1" applyFont="1" applyFill="1" applyBorder="1" applyAlignment="1">
      <alignment horizontal="center" vertical="top"/>
    </xf>
    <xf numFmtId="0" fontId="97" fillId="0" borderId="9" xfId="58" applyFont="1" applyBorder="1" applyAlignment="1">
      <alignment vertical="center" wrapText="1"/>
    </xf>
    <xf numFmtId="0" fontId="97" fillId="0" borderId="9" xfId="58" applyFont="1" applyBorder="1" applyAlignment="1">
      <alignment wrapText="1"/>
    </xf>
    <xf numFmtId="0" fontId="95" fillId="0" borderId="9" xfId="58" applyFont="1" applyFill="1" applyBorder="1" applyAlignment="1">
      <alignment horizontal="center" vertical="center"/>
    </xf>
    <xf numFmtId="0" fontId="95" fillId="0" borderId="9" xfId="58" applyFont="1" applyBorder="1" applyAlignment="1">
      <alignment horizontal="center" vertical="center"/>
    </xf>
    <xf numFmtId="0" fontId="128" fillId="0" borderId="0" xfId="58" applyFont="1" applyFill="1" applyBorder="1" applyAlignment="1">
      <alignment vertical="top" wrapText="1"/>
    </xf>
    <xf numFmtId="0" fontId="20" fillId="0" borderId="9" xfId="9" applyFont="1" applyFill="1" applyBorder="1" applyAlignment="1">
      <alignment horizontal="justify" vertical="center" wrapText="1"/>
    </xf>
    <xf numFmtId="0" fontId="95" fillId="2" borderId="15" xfId="58" applyFont="1" applyFill="1" applyBorder="1" applyAlignment="1">
      <alignment vertical="top" wrapText="1"/>
    </xf>
    <xf numFmtId="0" fontId="93" fillId="0" borderId="4" xfId="58" applyFont="1" applyBorder="1" applyAlignment="1">
      <alignment vertical="top" wrapText="1"/>
    </xf>
    <xf numFmtId="0" fontId="95" fillId="0" borderId="0" xfId="58" applyFont="1" applyBorder="1" applyAlignment="1">
      <alignment horizontal="center" vertical="top" wrapText="1"/>
    </xf>
    <xf numFmtId="0" fontId="95" fillId="0" borderId="0" xfId="58" applyFont="1" applyBorder="1" applyAlignment="1">
      <alignment horizontal="center" wrapText="1"/>
    </xf>
    <xf numFmtId="2" fontId="97" fillId="0" borderId="9" xfId="58" applyNumberFormat="1" applyFont="1" applyFill="1" applyBorder="1" applyAlignment="1">
      <alignment horizontal="center" vertical="center" wrapText="1"/>
    </xf>
    <xf numFmtId="167" fontId="20" fillId="0" borderId="9" xfId="9" applyNumberFormat="1" applyFont="1" applyFill="1" applyBorder="1" applyAlignment="1">
      <alignment horizontal="left" vertical="center" wrapText="1"/>
    </xf>
    <xf numFmtId="0" fontId="93" fillId="0" borderId="13" xfId="58" applyFont="1" applyBorder="1" applyAlignment="1">
      <alignment wrapText="1"/>
    </xf>
    <xf numFmtId="0" fontId="95" fillId="2" borderId="29" xfId="58" applyFont="1" applyFill="1" applyBorder="1" applyAlignment="1">
      <alignment vertical="top" wrapText="1"/>
    </xf>
    <xf numFmtId="2" fontId="97" fillId="0" borderId="0" xfId="0" applyNumberFormat="1" applyFont="1" applyFill="1" applyBorder="1" applyAlignment="1">
      <alignment horizontal="center" vertical="center" wrapText="1"/>
    </xf>
    <xf numFmtId="0" fontId="94" fillId="0" borderId="42" xfId="0" applyFont="1" applyFill="1" applyBorder="1" applyAlignment="1">
      <alignment vertical="center" wrapText="1"/>
    </xf>
    <xf numFmtId="2" fontId="97" fillId="0" borderId="9" xfId="0" applyNumberFormat="1" applyFont="1" applyFill="1" applyBorder="1" applyAlignment="1">
      <alignment horizontal="center" vertical="center" wrapText="1"/>
    </xf>
    <xf numFmtId="0" fontId="94" fillId="0" borderId="10" xfId="0" applyFont="1" applyFill="1" applyBorder="1" applyAlignment="1">
      <alignment vertical="center" wrapText="1"/>
    </xf>
    <xf numFmtId="0" fontId="94" fillId="0" borderId="9" xfId="0" applyFont="1" applyBorder="1" applyAlignment="1">
      <alignment vertical="center"/>
    </xf>
    <xf numFmtId="0" fontId="95" fillId="0" borderId="9" xfId="0" applyFont="1" applyFill="1" applyBorder="1" applyAlignment="1">
      <alignment horizontal="left" vertical="top" wrapText="1"/>
    </xf>
    <xf numFmtId="0" fontId="20" fillId="0" borderId="93" xfId="0" applyFont="1" applyFill="1" applyBorder="1" applyAlignment="1">
      <alignment vertical="top"/>
    </xf>
    <xf numFmtId="0" fontId="95" fillId="0" borderId="9" xfId="0" applyNumberFormat="1" applyFont="1" applyFill="1" applyBorder="1" applyAlignment="1">
      <alignment horizontal="left" vertical="center" wrapText="1"/>
    </xf>
    <xf numFmtId="0" fontId="95" fillId="0" borderId="9" xfId="0" applyFont="1" applyFill="1" applyBorder="1" applyAlignment="1">
      <alignment horizontal="left" vertical="center" wrapText="1"/>
    </xf>
    <xf numFmtId="0" fontId="95" fillId="0" borderId="0" xfId="58" applyFont="1" applyBorder="1" applyAlignment="1">
      <alignment horizontal="justify"/>
    </xf>
    <xf numFmtId="0" fontId="95" fillId="36" borderId="13" xfId="58" applyFont="1" applyFill="1" applyBorder="1" applyAlignment="1">
      <alignment vertical="top" wrapText="1"/>
    </xf>
    <xf numFmtId="0" fontId="104" fillId="0" borderId="0" xfId="0" applyFont="1" applyFill="1" applyBorder="1" applyAlignment="1">
      <alignment horizontal="left" vertical="top" wrapText="1"/>
    </xf>
    <xf numFmtId="0" fontId="104" fillId="0" borderId="42" xfId="0" applyFont="1" applyFill="1" applyBorder="1" applyAlignment="1">
      <alignment horizontal="left" vertical="top" wrapText="1"/>
    </xf>
    <xf numFmtId="0" fontId="104" fillId="0" borderId="42" xfId="0" applyFont="1" applyFill="1" applyBorder="1" applyAlignment="1">
      <alignment horizontal="left" vertical="top"/>
    </xf>
    <xf numFmtId="0" fontId="130" fillId="0" borderId="0" xfId="0" applyFont="1"/>
    <xf numFmtId="0" fontId="130" fillId="0" borderId="0" xfId="0" applyFont="1" applyFill="1"/>
    <xf numFmtId="0" fontId="130" fillId="0" borderId="0" xfId="0" applyFont="1" applyBorder="1"/>
    <xf numFmtId="0" fontId="130" fillId="0" borderId="9" xfId="0" applyFont="1" applyBorder="1"/>
    <xf numFmtId="0" fontId="97" fillId="0" borderId="9" xfId="0" applyFont="1" applyFill="1" applyBorder="1" applyAlignment="1">
      <alignment vertical="center" wrapText="1"/>
    </xf>
    <xf numFmtId="0" fontId="130" fillId="0" borderId="9" xfId="0" applyFont="1" applyFill="1" applyBorder="1"/>
    <xf numFmtId="167" fontId="20" fillId="0" borderId="9" xfId="9" applyNumberFormat="1" applyFont="1" applyBorder="1" applyAlignment="1">
      <alignment vertical="top" wrapText="1"/>
    </xf>
    <xf numFmtId="0" fontId="97" fillId="0" borderId="9" xfId="0" applyFont="1" applyFill="1" applyBorder="1" applyAlignment="1">
      <alignment vertical="top" wrapText="1"/>
    </xf>
    <xf numFmtId="0" fontId="92" fillId="0" borderId="9" xfId="0" applyFont="1" applyFill="1" applyBorder="1" applyAlignment="1">
      <alignment horizontal="left" vertical="center" wrapText="1"/>
    </xf>
    <xf numFmtId="0" fontId="113" fillId="0" borderId="0" xfId="0" applyFont="1"/>
    <xf numFmtId="0" fontId="113" fillId="0" borderId="0" xfId="0" applyFont="1" applyFill="1"/>
    <xf numFmtId="0" fontId="20" fillId="0" borderId="0" xfId="0" applyFont="1" applyFill="1" applyBorder="1"/>
    <xf numFmtId="0" fontId="20" fillId="0" borderId="0" xfId="0" applyFont="1" applyBorder="1"/>
    <xf numFmtId="0" fontId="97" fillId="0" borderId="9" xfId="0" applyFont="1" applyFill="1" applyBorder="1" applyAlignment="1">
      <alignment wrapText="1"/>
    </xf>
    <xf numFmtId="0" fontId="20" fillId="2" borderId="9" xfId="0" applyFont="1" applyFill="1" applyBorder="1" applyAlignment="1">
      <alignment vertical="top" wrapText="1"/>
    </xf>
    <xf numFmtId="0" fontId="113" fillId="0" borderId="0" xfId="0" applyFont="1" applyBorder="1"/>
    <xf numFmtId="0" fontId="132" fillId="0" borderId="0" xfId="110" applyFont="1" applyFill="1" applyBorder="1" applyAlignment="1">
      <alignment vertical="top" wrapText="1"/>
    </xf>
    <xf numFmtId="0" fontId="96" fillId="0" borderId="9" xfId="0" applyFont="1" applyFill="1" applyBorder="1"/>
    <xf numFmtId="0" fontId="96" fillId="0" borderId="9" xfId="0" applyFont="1" applyBorder="1" applyAlignment="1">
      <alignment horizontal="right" vertical="top" wrapText="1"/>
    </xf>
    <xf numFmtId="0" fontId="97" fillId="0" borderId="0" xfId="0" applyFont="1" applyFill="1" applyBorder="1" applyAlignment="1">
      <alignment horizontal="justify" vertical="center" wrapText="1"/>
    </xf>
    <xf numFmtId="0" fontId="92" fillId="0" borderId="9" xfId="0" applyFont="1" applyBorder="1" applyAlignment="1">
      <alignment vertical="center" wrapText="1"/>
    </xf>
    <xf numFmtId="165" fontId="97" fillId="0" borderId="5" xfId="0" applyNumberFormat="1" applyFont="1" applyBorder="1" applyAlignment="1">
      <alignment horizontal="center" vertical="center" wrapText="1"/>
    </xf>
    <xf numFmtId="0" fontId="94" fillId="0" borderId="9" xfId="0" applyFont="1" applyBorder="1" applyAlignment="1">
      <alignment vertical="center" wrapText="1"/>
    </xf>
    <xf numFmtId="0" fontId="93" fillId="0" borderId="51" xfId="0" applyFont="1" applyBorder="1" applyAlignment="1">
      <alignment horizontal="left" vertical="top" wrapText="1"/>
    </xf>
    <xf numFmtId="0" fontId="133" fillId="0" borderId="0" xfId="0" applyFont="1" applyBorder="1"/>
    <xf numFmtId="0" fontId="93" fillId="0" borderId="9" xfId="0" applyFont="1" applyBorder="1" applyAlignment="1">
      <alignment wrapText="1"/>
    </xf>
    <xf numFmtId="0" fontId="94" fillId="0" borderId="5" xfId="0" applyFont="1" applyFill="1" applyBorder="1" applyAlignment="1">
      <alignment vertical="center" wrapText="1"/>
    </xf>
    <xf numFmtId="165" fontId="97" fillId="0" borderId="9" xfId="0" applyNumberFormat="1" applyFont="1" applyBorder="1" applyAlignment="1">
      <alignment horizontal="center" wrapText="1"/>
    </xf>
    <xf numFmtId="0" fontId="93" fillId="0" borderId="9" xfId="58" applyFont="1" applyBorder="1" applyAlignment="1">
      <alignment horizontal="left" vertical="center" wrapText="1"/>
    </xf>
    <xf numFmtId="0" fontId="93" fillId="0" borderId="94" xfId="0" applyFont="1" applyBorder="1" applyAlignment="1">
      <alignment horizontal="left" vertical="top" wrapText="1"/>
    </xf>
    <xf numFmtId="0" fontId="97" fillId="0" borderId="94" xfId="0" applyFont="1" applyBorder="1" applyAlignment="1">
      <alignment horizontal="left" vertical="top" wrapText="1"/>
    </xf>
    <xf numFmtId="2" fontId="134" fillId="0" borderId="9" xfId="0" applyNumberFormat="1" applyFont="1" applyFill="1" applyBorder="1" applyAlignment="1">
      <alignment horizontal="center" vertical="center" wrapText="1"/>
    </xf>
    <xf numFmtId="0" fontId="20" fillId="0" borderId="9" xfId="0" applyFont="1" applyBorder="1" applyAlignment="1">
      <alignment vertical="center" wrapText="1"/>
    </xf>
    <xf numFmtId="0" fontId="20" fillId="0" borderId="9" xfId="0" applyFont="1" applyBorder="1" applyAlignment="1">
      <alignment horizontal="center" vertical="center" wrapText="1"/>
    </xf>
    <xf numFmtId="0" fontId="20" fillId="0" borderId="9" xfId="0" applyFont="1" applyFill="1" applyBorder="1" applyAlignment="1">
      <alignment vertical="center" wrapText="1"/>
    </xf>
    <xf numFmtId="0" fontId="97" fillId="0" borderId="9" xfId="0" applyFont="1" applyBorder="1" applyAlignment="1">
      <alignment horizontal="left" vertical="top" wrapText="1"/>
    </xf>
    <xf numFmtId="0" fontId="108" fillId="0" borderId="0" xfId="110" applyFont="1" applyFill="1" applyBorder="1" applyAlignment="1">
      <alignment vertical="top" wrapText="1"/>
    </xf>
    <xf numFmtId="0" fontId="135" fillId="0" borderId="0" xfId="0" applyFont="1" applyFill="1"/>
    <xf numFmtId="0" fontId="97" fillId="0" borderId="0" xfId="0" applyFont="1" applyFill="1" applyBorder="1" applyAlignment="1">
      <alignment horizontal="center" vertical="top" wrapText="1"/>
    </xf>
    <xf numFmtId="165" fontId="93" fillId="0" borderId="0" xfId="0" applyNumberFormat="1" applyFont="1" applyFill="1" applyBorder="1" applyAlignment="1">
      <alignment horizontal="justify" wrapText="1"/>
    </xf>
    <xf numFmtId="0" fontId="93" fillId="0" borderId="0" xfId="0" applyFont="1" applyFill="1" applyBorder="1" applyAlignment="1">
      <alignment horizontal="justify" wrapText="1"/>
    </xf>
    <xf numFmtId="0" fontId="95" fillId="0" borderId="10" xfId="0" applyFont="1" applyFill="1" applyBorder="1" applyAlignment="1">
      <alignment horizontal="left" vertical="top"/>
    </xf>
    <xf numFmtId="0" fontId="95" fillId="0" borderId="5" xfId="0" applyFont="1" applyFill="1" applyBorder="1" applyAlignment="1">
      <alignment horizontal="left" vertical="top"/>
    </xf>
    <xf numFmtId="0" fontId="135" fillId="0" borderId="0" xfId="0" applyFont="1"/>
    <xf numFmtId="0" fontId="97" fillId="0" borderId="9" xfId="0" applyFont="1" applyBorder="1" applyAlignment="1">
      <alignment horizontal="center" vertical="top" wrapText="1"/>
    </xf>
    <xf numFmtId="165" fontId="93" fillId="0" borderId="9" xfId="0" applyNumberFormat="1" applyFont="1" applyBorder="1" applyAlignment="1">
      <alignment horizontal="justify" wrapText="1"/>
    </xf>
    <xf numFmtId="0" fontId="93" fillId="0" borderId="9" xfId="0" applyFont="1" applyFill="1" applyBorder="1" applyAlignment="1">
      <alignment horizontal="justify" wrapText="1"/>
    </xf>
    <xf numFmtId="0" fontId="95" fillId="2" borderId="10" xfId="0" applyFont="1" applyFill="1" applyBorder="1" applyAlignment="1">
      <alignment horizontal="left" vertical="top"/>
    </xf>
    <xf numFmtId="0" fontId="95" fillId="2" borderId="5" xfId="0" applyFont="1" applyFill="1" applyBorder="1" applyAlignment="1">
      <alignment horizontal="left" vertical="top"/>
    </xf>
    <xf numFmtId="0" fontId="136" fillId="0" borderId="0" xfId="0" applyFont="1"/>
    <xf numFmtId="0" fontId="136" fillId="0" borderId="0" xfId="0" applyFont="1" applyFill="1"/>
    <xf numFmtId="0" fontId="93" fillId="0" borderId="9" xfId="0" applyFont="1" applyBorder="1" applyAlignment="1">
      <alignment horizontal="center" wrapText="1"/>
    </xf>
    <xf numFmtId="0" fontId="137" fillId="0" borderId="9" xfId="0" applyFont="1" applyBorder="1" applyAlignment="1">
      <alignment horizontal="center" wrapText="1"/>
    </xf>
    <xf numFmtId="0" fontId="20" fillId="0" borderId="9" xfId="0" applyFont="1" applyBorder="1" applyAlignment="1">
      <alignment horizontal="left" vertical="top" wrapText="1"/>
    </xf>
    <xf numFmtId="0" fontId="20" fillId="0" borderId="9" xfId="0" applyFont="1" applyBorder="1" applyAlignment="1">
      <alignment vertical="center"/>
    </xf>
    <xf numFmtId="0" fontId="20" fillId="0" borderId="9" xfId="0" applyFont="1" applyBorder="1" applyAlignment="1">
      <alignment vertical="top" wrapText="1"/>
    </xf>
    <xf numFmtId="0" fontId="138" fillId="0" borderId="9" xfId="0" applyFont="1" applyBorder="1" applyAlignment="1">
      <alignment vertical="top" wrapText="1"/>
    </xf>
    <xf numFmtId="0" fontId="138" fillId="0" borderId="9" xfId="0" applyFont="1" applyBorder="1"/>
    <xf numFmtId="0" fontId="104" fillId="2" borderId="9" xfId="0" applyFont="1" applyFill="1" applyBorder="1" applyAlignment="1">
      <alignment wrapText="1"/>
    </xf>
    <xf numFmtId="0" fontId="93" fillId="36" borderId="9" xfId="0" applyFont="1" applyFill="1" applyBorder="1" applyAlignment="1">
      <alignment horizontal="left" vertical="top" wrapText="1"/>
    </xf>
    <xf numFmtId="0" fontId="104" fillId="2" borderId="9" xfId="0" applyFont="1" applyFill="1" applyBorder="1" applyAlignment="1">
      <alignment vertical="top" wrapText="1"/>
    </xf>
    <xf numFmtId="0" fontId="139" fillId="0" borderId="0" xfId="0" applyFont="1"/>
    <xf numFmtId="0" fontId="139" fillId="0" borderId="0" xfId="0" applyFont="1" applyAlignment="1">
      <alignment horizontal="justify"/>
    </xf>
    <xf numFmtId="0" fontId="93" fillId="0" borderId="9" xfId="0" applyFont="1" applyFill="1" applyBorder="1" applyAlignment="1">
      <alignment horizontal="right" vertical="top" wrapText="1"/>
    </xf>
    <xf numFmtId="165" fontId="97" fillId="0" borderId="0" xfId="58" applyNumberFormat="1" applyFont="1" applyFill="1" applyBorder="1" applyAlignment="1">
      <alignment horizontal="center" vertical="center" wrapText="1"/>
    </xf>
    <xf numFmtId="0" fontId="97" fillId="0" borderId="0" xfId="58" applyFont="1" applyFill="1" applyBorder="1" applyAlignment="1">
      <alignment horizontal="center" vertical="center" wrapText="1"/>
    </xf>
    <xf numFmtId="0" fontId="95" fillId="0" borderId="10" xfId="58" applyFont="1" applyFill="1" applyBorder="1" applyAlignment="1">
      <alignment horizontal="left" vertical="top"/>
    </xf>
    <xf numFmtId="0" fontId="95" fillId="0" borderId="6" xfId="58" applyFont="1" applyFill="1" applyBorder="1" applyAlignment="1">
      <alignment horizontal="left" vertical="top"/>
    </xf>
    <xf numFmtId="165" fontId="93" fillId="0" borderId="9" xfId="58" applyNumberFormat="1" applyFont="1" applyBorder="1" applyAlignment="1"/>
    <xf numFmtId="0" fontId="93" fillId="0" borderId="9" xfId="58" applyFont="1" applyFill="1" applyBorder="1" applyAlignment="1">
      <alignment horizontal="center"/>
    </xf>
    <xf numFmtId="165" fontId="97" fillId="4" borderId="9" xfId="58" applyNumberFormat="1" applyFont="1" applyFill="1" applyBorder="1" applyAlignment="1">
      <alignment horizontal="center" wrapText="1"/>
    </xf>
    <xf numFmtId="0" fontId="123" fillId="0" borderId="9" xfId="58" applyFont="1" applyBorder="1" applyAlignment="1">
      <alignment horizontal="center"/>
    </xf>
    <xf numFmtId="0" fontId="123" fillId="0" borderId="9" xfId="58" applyFont="1" applyFill="1" applyBorder="1" applyAlignment="1">
      <alignment horizontal="center"/>
    </xf>
    <xf numFmtId="0" fontId="124" fillId="0" borderId="9" xfId="0" applyFont="1" applyFill="1" applyBorder="1" applyAlignment="1">
      <alignment horizontal="center" wrapText="1"/>
    </xf>
    <xf numFmtId="0" fontId="123" fillId="0" borderId="9" xfId="3" applyFont="1" applyFill="1" applyBorder="1" applyAlignment="1">
      <alignment horizontal="center" wrapText="1"/>
    </xf>
    <xf numFmtId="167" fontId="41" fillId="0" borderId="0" xfId="9" applyNumberFormat="1" applyFont="1" applyFill="1" applyBorder="1" applyAlignment="1">
      <alignment vertical="top" wrapText="1"/>
    </xf>
    <xf numFmtId="0" fontId="41" fillId="0" borderId="9" xfId="58" applyFont="1" applyFill="1" applyBorder="1" applyAlignment="1">
      <alignment vertical="top"/>
    </xf>
    <xf numFmtId="0" fontId="124" fillId="0" borderId="10" xfId="58" applyFont="1" applyFill="1" applyBorder="1" applyAlignment="1">
      <alignment horizontal="center"/>
    </xf>
    <xf numFmtId="0" fontId="41" fillId="0" borderId="95" xfId="58" applyFont="1" applyFill="1" applyBorder="1" applyAlignment="1">
      <alignment vertical="top"/>
    </xf>
    <xf numFmtId="0" fontId="124" fillId="0" borderId="9" xfId="3" applyFont="1" applyFill="1" applyBorder="1" applyAlignment="1">
      <alignment horizontal="center" wrapText="1"/>
    </xf>
    <xf numFmtId="0" fontId="124" fillId="0" borderId="9" xfId="3" applyFont="1" applyFill="1" applyBorder="1" applyAlignment="1">
      <alignment horizontal="center"/>
    </xf>
    <xf numFmtId="1" fontId="124" fillId="0" borderId="9" xfId="9" applyNumberFormat="1" applyFont="1" applyFill="1" applyBorder="1" applyAlignment="1">
      <alignment horizontal="center"/>
    </xf>
    <xf numFmtId="167" fontId="41" fillId="0" borderId="10" xfId="9" applyNumberFormat="1" applyFont="1" applyFill="1" applyBorder="1" applyAlignment="1">
      <alignment vertical="top" wrapText="1"/>
    </xf>
    <xf numFmtId="1" fontId="124" fillId="0" borderId="9" xfId="109" applyNumberFormat="1" applyFont="1" applyFill="1" applyBorder="1" applyAlignment="1">
      <alignment horizontal="center" wrapText="1"/>
    </xf>
    <xf numFmtId="3" fontId="124" fillId="0" borderId="9" xfId="3" applyNumberFormat="1" applyFont="1" applyFill="1" applyBorder="1" applyAlignment="1">
      <alignment horizontal="center"/>
    </xf>
    <xf numFmtId="0" fontId="122" fillId="0" borderId="0" xfId="58" applyFont="1" applyFill="1" applyAlignment="1"/>
    <xf numFmtId="0" fontId="122" fillId="0" borderId="25" xfId="58" applyFont="1" applyFill="1" applyBorder="1" applyAlignment="1"/>
    <xf numFmtId="167" fontId="41" fillId="0" borderId="10" xfId="3" applyNumberFormat="1" applyFont="1" applyFill="1" applyBorder="1" applyAlignment="1">
      <alignment vertical="top" wrapText="1"/>
    </xf>
    <xf numFmtId="1" fontId="124" fillId="4" borderId="9" xfId="3" applyNumberFormat="1" applyFont="1" applyFill="1" applyBorder="1" applyAlignment="1">
      <alignment horizontal="center"/>
    </xf>
    <xf numFmtId="1" fontId="124" fillId="0" borderId="9" xfId="3" applyNumberFormat="1" applyFont="1" applyFill="1" applyBorder="1" applyAlignment="1">
      <alignment horizontal="center"/>
    </xf>
    <xf numFmtId="167" fontId="41" fillId="0" borderId="10" xfId="9" applyNumberFormat="1" applyFont="1" applyFill="1" applyBorder="1" applyAlignment="1">
      <alignment horizontal="left" vertical="top" wrapText="1"/>
    </xf>
    <xf numFmtId="0" fontId="95" fillId="2" borderId="5" xfId="58" applyFont="1" applyFill="1" applyBorder="1" applyAlignment="1">
      <alignment vertical="top" wrapText="1"/>
    </xf>
    <xf numFmtId="0" fontId="93" fillId="0" borderId="0" xfId="58" applyFont="1" applyBorder="1" applyAlignment="1">
      <alignment horizontal="center" wrapText="1"/>
    </xf>
    <xf numFmtId="0" fontId="95" fillId="2" borderId="9" xfId="58" applyFont="1" applyFill="1" applyBorder="1" applyAlignment="1">
      <alignment horizontal="left" vertical="top"/>
    </xf>
    <xf numFmtId="3" fontId="97" fillId="0" borderId="5" xfId="3" applyNumberFormat="1" applyFont="1" applyFill="1" applyBorder="1" applyAlignment="1">
      <alignment horizontal="center" vertical="center"/>
    </xf>
    <xf numFmtId="3" fontId="97" fillId="0" borderId="9" xfId="3" applyNumberFormat="1" applyFont="1" applyFill="1" applyBorder="1" applyAlignment="1">
      <alignment horizontal="center" vertical="center" wrapText="1"/>
    </xf>
    <xf numFmtId="3" fontId="97" fillId="0" borderId="5" xfId="3" applyNumberFormat="1" applyFont="1" applyFill="1" applyBorder="1" applyAlignment="1">
      <alignment horizontal="center" vertical="center" wrapText="1"/>
    </xf>
    <xf numFmtId="0" fontId="95" fillId="0" borderId="42" xfId="58" applyFont="1" applyBorder="1" applyAlignment="1"/>
    <xf numFmtId="0" fontId="95" fillId="0" borderId="41" xfId="58" applyFont="1" applyBorder="1" applyAlignment="1"/>
    <xf numFmtId="0" fontId="93" fillId="0" borderId="5" xfId="58" applyFont="1" applyBorder="1" applyAlignment="1">
      <alignment wrapText="1"/>
    </xf>
    <xf numFmtId="0" fontId="95" fillId="0" borderId="25" xfId="58" applyFont="1" applyBorder="1" applyAlignment="1"/>
    <xf numFmtId="0" fontId="93" fillId="0" borderId="5" xfId="58" applyFont="1" applyBorder="1" applyAlignment="1">
      <alignment horizontal="left" wrapText="1"/>
    </xf>
    <xf numFmtId="0" fontId="95" fillId="0" borderId="0" xfId="58" applyFont="1" applyFill="1" applyBorder="1" applyAlignment="1"/>
    <xf numFmtId="0" fontId="95" fillId="36" borderId="9" xfId="58" applyFont="1" applyFill="1" applyBorder="1" applyAlignment="1">
      <alignment vertical="top" wrapText="1"/>
    </xf>
    <xf numFmtId="0" fontId="128" fillId="0" borderId="0" xfId="58" applyFont="1" applyBorder="1"/>
    <xf numFmtId="0" fontId="93" fillId="0" borderId="9" xfId="58" applyFont="1" applyBorder="1" applyAlignment="1">
      <alignment horizontal="left" vertical="top" wrapText="1"/>
    </xf>
    <xf numFmtId="0" fontId="57" fillId="0" borderId="0" xfId="110" applyFont="1"/>
    <xf numFmtId="0" fontId="57" fillId="0" borderId="0" xfId="110" applyFont="1" applyBorder="1"/>
    <xf numFmtId="0" fontId="93" fillId="0" borderId="0" xfId="0" applyFont="1" applyBorder="1" applyAlignment="1">
      <alignment horizontal="center" vertical="center" wrapText="1"/>
    </xf>
    <xf numFmtId="165" fontId="93" fillId="0" borderId="0" xfId="0" applyNumberFormat="1" applyFont="1" applyBorder="1" applyAlignment="1">
      <alignment horizontal="center" vertical="center" wrapText="1"/>
    </xf>
    <xf numFmtId="0" fontId="141" fillId="0" borderId="0" xfId="14" applyFont="1" applyAlignment="1" applyProtection="1"/>
    <xf numFmtId="0" fontId="93" fillId="0" borderId="9" xfId="110" applyFont="1" applyBorder="1" applyAlignment="1">
      <alignment horizontal="center" vertical="top" wrapText="1"/>
    </xf>
    <xf numFmtId="0" fontId="93" fillId="0" borderId="9" xfId="0" applyFont="1" applyBorder="1" applyAlignment="1">
      <alignment horizontal="center" vertical="top" wrapText="1"/>
    </xf>
    <xf numFmtId="0" fontId="93" fillId="0" borderId="9" xfId="110" applyFont="1" applyBorder="1" applyAlignment="1">
      <alignment horizontal="left" vertical="top" wrapText="1"/>
    </xf>
    <xf numFmtId="0" fontId="96" fillId="0" borderId="9" xfId="3" applyFont="1" applyBorder="1" applyAlignment="1">
      <alignment horizontal="left" vertical="top" wrapText="1"/>
    </xf>
    <xf numFmtId="165" fontId="93" fillId="0" borderId="9" xfId="0" applyNumberFormat="1" applyFont="1" applyBorder="1" applyAlignment="1">
      <alignment horizontal="center" vertical="center" wrapText="1"/>
    </xf>
    <xf numFmtId="0" fontId="93" fillId="0" borderId="9" xfId="110" applyFont="1" applyFill="1" applyBorder="1" applyAlignment="1">
      <alignment horizontal="center" vertical="top" wrapText="1"/>
    </xf>
    <xf numFmtId="0" fontId="95" fillId="2" borderId="9" xfId="110" applyFont="1" applyFill="1" applyBorder="1" applyAlignment="1">
      <alignment horizontal="center" vertical="top" wrapText="1"/>
    </xf>
    <xf numFmtId="0" fontId="95" fillId="2" borderId="13" xfId="110" applyFont="1" applyFill="1" applyBorder="1" applyAlignment="1">
      <alignment horizontal="center" vertical="top" wrapText="1"/>
    </xf>
    <xf numFmtId="0" fontId="95" fillId="2" borderId="10" xfId="110" applyFont="1" applyFill="1" applyBorder="1" applyAlignment="1">
      <alignment horizontal="center" vertical="top" wrapText="1"/>
    </xf>
    <xf numFmtId="0" fontId="95" fillId="2" borderId="5" xfId="110" applyFont="1" applyFill="1" applyBorder="1" applyAlignment="1">
      <alignment horizontal="center" vertical="top" wrapText="1"/>
    </xf>
    <xf numFmtId="0" fontId="95" fillId="2" borderId="11" xfId="110" applyFont="1" applyFill="1" applyBorder="1" applyAlignment="1">
      <alignment horizontal="center" vertical="top" wrapText="1"/>
    </xf>
    <xf numFmtId="0" fontId="95" fillId="2" borderId="12" xfId="110" applyFont="1" applyFill="1" applyBorder="1" applyAlignment="1">
      <alignment horizontal="center" vertical="top" wrapText="1"/>
    </xf>
    <xf numFmtId="0" fontId="95" fillId="2" borderId="6" xfId="110" applyFont="1" applyFill="1" applyBorder="1" applyAlignment="1">
      <alignment horizontal="center" vertical="top" wrapText="1"/>
    </xf>
    <xf numFmtId="0" fontId="108" fillId="0" borderId="0" xfId="110" applyFont="1"/>
    <xf numFmtId="0" fontId="93" fillId="0" borderId="9" xfId="110" applyFont="1" applyBorder="1" applyAlignment="1">
      <alignment vertical="top" wrapText="1"/>
    </xf>
    <xf numFmtId="0" fontId="95" fillId="2" borderId="9" xfId="110" applyFont="1" applyFill="1" applyBorder="1" applyAlignment="1">
      <alignment vertical="top" wrapText="1"/>
    </xf>
    <xf numFmtId="0" fontId="57" fillId="0" borderId="0" xfId="110" applyFont="1" applyFill="1"/>
    <xf numFmtId="167" fontId="93" fillId="0" borderId="13" xfId="110" applyNumberFormat="1" applyFont="1" applyFill="1" applyBorder="1" applyAlignment="1">
      <alignment horizontal="center" wrapText="1"/>
    </xf>
    <xf numFmtId="0" fontId="93" fillId="0" borderId="42" xfId="0" applyFont="1" applyFill="1" applyBorder="1" applyAlignment="1">
      <alignment wrapText="1"/>
    </xf>
    <xf numFmtId="0" fontId="142" fillId="0" borderId="42" xfId="110" applyFont="1" applyFill="1" applyBorder="1" applyAlignment="1">
      <alignment wrapText="1"/>
    </xf>
    <xf numFmtId="0" fontId="93" fillId="0" borderId="13" xfId="110" applyFont="1" applyFill="1" applyBorder="1" applyAlignment="1">
      <alignment vertical="center" wrapText="1"/>
    </xf>
    <xf numFmtId="0" fontId="93" fillId="0" borderId="13" xfId="110" applyFont="1" applyFill="1" applyBorder="1" applyAlignment="1">
      <alignment wrapText="1"/>
    </xf>
    <xf numFmtId="167" fontId="93" fillId="0" borderId="11" xfId="110" applyNumberFormat="1" applyFont="1" applyFill="1" applyBorder="1" applyAlignment="1">
      <alignment horizontal="center" wrapText="1"/>
    </xf>
    <xf numFmtId="0" fontId="93" fillId="0" borderId="11" xfId="110" applyFont="1" applyFill="1" applyBorder="1" applyAlignment="1">
      <alignment vertical="center" wrapText="1"/>
    </xf>
    <xf numFmtId="0" fontId="93" fillId="0" borderId="12" xfId="110" applyFont="1" applyFill="1" applyBorder="1" applyAlignment="1">
      <alignment wrapText="1"/>
    </xf>
    <xf numFmtId="0" fontId="93" fillId="0" borderId="42" xfId="0" applyFont="1" applyBorder="1" applyAlignment="1">
      <alignment wrapText="1"/>
    </xf>
    <xf numFmtId="0" fontId="93" fillId="0" borderId="12" xfId="110" applyFont="1" applyFill="1" applyBorder="1" applyAlignment="1">
      <alignment vertical="center" wrapText="1"/>
    </xf>
    <xf numFmtId="167" fontId="93" fillId="47" borderId="11" xfId="110" applyNumberFormat="1" applyFont="1" applyFill="1" applyBorder="1" applyAlignment="1">
      <alignment horizontal="center" wrapText="1"/>
    </xf>
    <xf numFmtId="0" fontId="93" fillId="47" borderId="10" xfId="110" applyFont="1" applyFill="1" applyBorder="1" applyAlignment="1">
      <alignment vertical="center" wrapText="1"/>
    </xf>
    <xf numFmtId="0" fontId="93" fillId="47" borderId="9" xfId="110" applyFont="1" applyFill="1" applyBorder="1" applyAlignment="1">
      <alignment horizontal="left" wrapText="1"/>
    </xf>
    <xf numFmtId="167" fontId="93" fillId="0" borderId="13" xfId="0" applyNumberFormat="1" applyFont="1" applyBorder="1" applyAlignment="1">
      <alignment horizontal="center" wrapText="1"/>
    </xf>
    <xf numFmtId="0" fontId="93" fillId="0" borderId="0" xfId="0" applyFont="1" applyBorder="1" applyAlignment="1">
      <alignment horizontal="left" vertical="center" wrapText="1"/>
    </xf>
    <xf numFmtId="0" fontId="142" fillId="0" borderId="42" xfId="0" applyFont="1" applyBorder="1" applyAlignment="1">
      <alignment wrapText="1"/>
    </xf>
    <xf numFmtId="0" fontId="93" fillId="0" borderId="13" xfId="0" applyFont="1" applyBorder="1" applyAlignment="1">
      <alignment vertical="center" wrapText="1"/>
    </xf>
    <xf numFmtId="0" fontId="93" fillId="0" borderId="13" xfId="0" applyFont="1" applyBorder="1" applyAlignment="1">
      <alignment wrapText="1"/>
    </xf>
    <xf numFmtId="0" fontId="57" fillId="0" borderId="42" xfId="0" applyFont="1" applyBorder="1"/>
    <xf numFmtId="167" fontId="93" fillId="0" borderId="11" xfId="0" applyNumberFormat="1" applyFont="1" applyBorder="1" applyAlignment="1">
      <alignment horizontal="center" wrapText="1"/>
    </xf>
    <xf numFmtId="0" fontId="93" fillId="0" borderId="11" xfId="0" applyFont="1" applyBorder="1" applyAlignment="1">
      <alignment vertical="center" wrapText="1"/>
    </xf>
    <xf numFmtId="0" fontId="93" fillId="0" borderId="12" xfId="0" applyFont="1" applyBorder="1" applyAlignment="1">
      <alignment wrapText="1"/>
    </xf>
    <xf numFmtId="167" fontId="93" fillId="0" borderId="12" xfId="0" applyNumberFormat="1" applyFont="1" applyBorder="1" applyAlignment="1">
      <alignment horizontal="center" wrapText="1"/>
    </xf>
    <xf numFmtId="0" fontId="142" fillId="0" borderId="0" xfId="0" applyFont="1" applyBorder="1" applyAlignment="1">
      <alignment wrapText="1"/>
    </xf>
    <xf numFmtId="0" fontId="93" fillId="0" borderId="12" xfId="0" applyFont="1" applyBorder="1" applyAlignment="1">
      <alignment vertical="center" wrapText="1"/>
    </xf>
    <xf numFmtId="0" fontId="95" fillId="0" borderId="12" xfId="0" applyFont="1" applyBorder="1" applyAlignment="1">
      <alignment wrapText="1"/>
    </xf>
    <xf numFmtId="167" fontId="97" fillId="0" borderId="11" xfId="3" applyNumberFormat="1" applyFont="1" applyFill="1" applyBorder="1" applyAlignment="1">
      <alignment horizontal="center" wrapText="1"/>
    </xf>
    <xf numFmtId="167" fontId="93" fillId="47" borderId="9" xfId="0" applyNumberFormat="1" applyFont="1" applyFill="1" applyBorder="1" applyAlignment="1">
      <alignment horizontal="center" wrapText="1"/>
    </xf>
    <xf numFmtId="0" fontId="93" fillId="47" borderId="9" xfId="0" applyFont="1" applyFill="1" applyBorder="1" applyAlignment="1">
      <alignment vertical="center" wrapText="1"/>
    </xf>
    <xf numFmtId="0" fontId="93" fillId="47" borderId="9" xfId="0" applyFont="1" applyFill="1" applyBorder="1" applyAlignment="1">
      <alignment horizontal="left" wrapText="1"/>
    </xf>
    <xf numFmtId="0" fontId="93" fillId="0" borderId="51" xfId="110" applyFont="1" applyFill="1" applyBorder="1" applyAlignment="1">
      <alignment vertical="center" wrapText="1"/>
    </xf>
    <xf numFmtId="0" fontId="93" fillId="0" borderId="13" xfId="110" applyFont="1" applyFill="1" applyBorder="1" applyAlignment="1">
      <alignment vertical="top" wrapText="1"/>
    </xf>
    <xf numFmtId="0" fontId="93" fillId="0" borderId="15" xfId="110" applyFont="1" applyFill="1" applyBorder="1" applyAlignment="1">
      <alignment vertical="center" wrapText="1"/>
    </xf>
    <xf numFmtId="0" fontId="93" fillId="0" borderId="12" xfId="110" applyFont="1" applyFill="1" applyBorder="1" applyAlignment="1">
      <alignment vertical="top" wrapText="1"/>
    </xf>
    <xf numFmtId="0" fontId="93" fillId="0" borderId="32" xfId="110" applyFont="1" applyFill="1" applyBorder="1" applyAlignment="1">
      <alignment vertical="center" wrapText="1"/>
    </xf>
    <xf numFmtId="167" fontId="93" fillId="0" borderId="12" xfId="110" applyNumberFormat="1" applyFont="1" applyFill="1" applyBorder="1" applyAlignment="1">
      <alignment horizontal="center" wrapText="1"/>
    </xf>
    <xf numFmtId="167" fontId="93" fillId="47" borderId="9" xfId="110" applyNumberFormat="1" applyFont="1" applyFill="1" applyBorder="1" applyAlignment="1">
      <alignment horizontal="center" wrapText="1"/>
    </xf>
    <xf numFmtId="0" fontId="93" fillId="47" borderId="11" xfId="110" applyFont="1" applyFill="1" applyBorder="1" applyAlignment="1">
      <alignment horizontal="left" vertical="top" wrapText="1"/>
    </xf>
    <xf numFmtId="0" fontId="93" fillId="47" borderId="15" xfId="110" applyFont="1" applyFill="1" applyBorder="1" applyAlignment="1">
      <alignment vertical="center" wrapText="1"/>
    </xf>
    <xf numFmtId="0" fontId="93" fillId="47" borderId="9" xfId="110" applyFont="1" applyFill="1" applyBorder="1" applyAlignment="1">
      <alignment vertical="top" wrapText="1"/>
    </xf>
    <xf numFmtId="167" fontId="93" fillId="0" borderId="9" xfId="110" applyNumberFormat="1" applyFont="1" applyBorder="1" applyAlignment="1">
      <alignment horizontal="center" wrapText="1"/>
    </xf>
    <xf numFmtId="0" fontId="95" fillId="0" borderId="6" xfId="110" applyFont="1" applyBorder="1" applyAlignment="1">
      <alignment wrapText="1"/>
    </xf>
    <xf numFmtId="0" fontId="95" fillId="0" borderId="10" xfId="110" applyFont="1" applyBorder="1" applyAlignment="1">
      <alignment wrapText="1"/>
    </xf>
    <xf numFmtId="0" fontId="95" fillId="0" borderId="14" xfId="110" applyFont="1" applyBorder="1" applyAlignment="1">
      <alignment horizontal="left"/>
    </xf>
    <xf numFmtId="0" fontId="95" fillId="3" borderId="9" xfId="110" applyFont="1" applyFill="1" applyBorder="1" applyAlignment="1">
      <alignment horizontal="center" wrapText="1"/>
    </xf>
    <xf numFmtId="0" fontId="95" fillId="0" borderId="0" xfId="110" applyFont="1" applyAlignment="1">
      <alignment wrapText="1"/>
    </xf>
    <xf numFmtId="0" fontId="57" fillId="0" borderId="0" xfId="110" applyFont="1" applyAlignment="1">
      <alignment wrapText="1"/>
    </xf>
    <xf numFmtId="0" fontId="95" fillId="0" borderId="0" xfId="110" applyFont="1" applyAlignment="1"/>
    <xf numFmtId="0" fontId="57" fillId="0" borderId="0" xfId="110" applyFont="1" applyAlignment="1"/>
    <xf numFmtId="0" fontId="108" fillId="0" borderId="0" xfId="110" applyFont="1" applyAlignment="1">
      <alignment horizontal="right"/>
    </xf>
    <xf numFmtId="0" fontId="95" fillId="0" borderId="0" xfId="110" applyFont="1"/>
    <xf numFmtId="1" fontId="37" fillId="4" borderId="28" xfId="1" applyNumberFormat="1" applyFont="1" applyFill="1" applyBorder="1" applyAlignment="1">
      <alignment horizontal="center" vertical="top"/>
    </xf>
    <xf numFmtId="1" fontId="37" fillId="4" borderId="29" xfId="1" applyNumberFormat="1" applyFont="1" applyFill="1" applyBorder="1" applyAlignment="1">
      <alignment horizontal="center" vertical="top"/>
    </xf>
    <xf numFmtId="1" fontId="37" fillId="4" borderId="31" xfId="1" applyNumberFormat="1" applyFont="1" applyFill="1" applyBorder="1" applyAlignment="1">
      <alignment horizontal="center" vertical="top"/>
    </xf>
    <xf numFmtId="1" fontId="37" fillId="4" borderId="28" xfId="1" applyNumberFormat="1" applyFont="1" applyFill="1" applyBorder="1" applyAlignment="1">
      <alignment horizontal="center" vertical="top"/>
    </xf>
    <xf numFmtId="1" fontId="37" fillId="4" borderId="29" xfId="1" applyNumberFormat="1" applyFont="1" applyFill="1" applyBorder="1" applyAlignment="1">
      <alignment horizontal="center" vertical="top"/>
    </xf>
    <xf numFmtId="1" fontId="37" fillId="4" borderId="31" xfId="1" applyNumberFormat="1" applyFont="1" applyFill="1" applyBorder="1" applyAlignment="1">
      <alignment horizontal="center" vertical="top"/>
    </xf>
    <xf numFmtId="1" fontId="37" fillId="4" borderId="10" xfId="1" applyNumberFormat="1" applyFont="1" applyFill="1" applyBorder="1" applyAlignment="1">
      <alignment horizontal="center" vertical="top"/>
    </xf>
    <xf numFmtId="1" fontId="37" fillId="0" borderId="10" xfId="1" applyNumberFormat="1" applyFont="1" applyFill="1" applyBorder="1" applyAlignment="1">
      <alignment horizontal="center" vertical="top"/>
    </xf>
    <xf numFmtId="1" fontId="37" fillId="0" borderId="32" xfId="1" applyNumberFormat="1" applyFont="1" applyFill="1" applyBorder="1" applyAlignment="1">
      <alignment horizontal="center" vertical="top"/>
    </xf>
    <xf numFmtId="167" fontId="28" fillId="0" borderId="4" xfId="1" applyNumberFormat="1" applyFont="1" applyFill="1" applyBorder="1" applyAlignment="1">
      <alignment horizontal="center" vertical="top"/>
    </xf>
    <xf numFmtId="167" fontId="28" fillId="0" borderId="19" xfId="1" applyNumberFormat="1" applyFont="1" applyFill="1" applyBorder="1" applyAlignment="1">
      <alignment horizontal="center" vertical="top"/>
    </xf>
    <xf numFmtId="167" fontId="22" fillId="35" borderId="4" xfId="1" applyNumberFormat="1" applyFont="1" applyFill="1" applyBorder="1" applyAlignment="1">
      <alignment horizontal="center" vertical="center"/>
    </xf>
    <xf numFmtId="167" fontId="22" fillId="35" borderId="19" xfId="1" applyNumberFormat="1" applyFont="1" applyFill="1" applyBorder="1" applyAlignment="1">
      <alignment horizontal="center" vertical="center"/>
    </xf>
    <xf numFmtId="167" fontId="33" fillId="0" borderId="4" xfId="1" applyNumberFormat="1" applyFont="1" applyFill="1" applyBorder="1" applyAlignment="1">
      <alignment horizontal="center" vertical="top"/>
    </xf>
    <xf numFmtId="167" fontId="33" fillId="0" borderId="19" xfId="1" applyNumberFormat="1" applyFont="1" applyFill="1" applyBorder="1" applyAlignment="1">
      <alignment horizontal="center" vertical="top"/>
    </xf>
    <xf numFmtId="167" fontId="22" fillId="35" borderId="4" xfId="1" applyNumberFormat="1" applyFont="1" applyFill="1" applyBorder="1" applyAlignment="1">
      <alignment horizontal="center" vertical="top"/>
    </xf>
    <xf numFmtId="167" fontId="22" fillId="35" borderId="19" xfId="1" applyNumberFormat="1" applyFont="1" applyFill="1" applyBorder="1" applyAlignment="1">
      <alignment horizontal="center" vertical="top"/>
    </xf>
    <xf numFmtId="167" fontId="28" fillId="0" borderId="19" xfId="3" applyNumberFormat="1" applyFont="1" applyFill="1" applyBorder="1" applyAlignment="1">
      <alignment horizontal="center" vertical="top" wrapText="1"/>
    </xf>
    <xf numFmtId="167" fontId="28" fillId="4" borderId="7" xfId="1" applyNumberFormat="1" applyFont="1" applyFill="1" applyBorder="1" applyAlignment="1">
      <alignment horizontal="center" vertical="top"/>
    </xf>
    <xf numFmtId="167" fontId="28" fillId="4" borderId="21" xfId="1" applyNumberFormat="1" applyFont="1" applyFill="1" applyBorder="1" applyAlignment="1">
      <alignment horizontal="center" vertical="top"/>
    </xf>
    <xf numFmtId="167" fontId="28" fillId="4" borderId="20" xfId="1" applyNumberFormat="1" applyFont="1" applyFill="1" applyBorder="1" applyAlignment="1">
      <alignment horizontal="center" vertical="top"/>
    </xf>
    <xf numFmtId="167" fontId="33" fillId="0" borderId="21" xfId="1" applyNumberFormat="1" applyFont="1" applyFill="1" applyBorder="1" applyAlignment="1">
      <alignment horizontal="center" vertical="top"/>
    </xf>
    <xf numFmtId="167" fontId="33" fillId="0" borderId="20" xfId="1" applyNumberFormat="1" applyFont="1" applyFill="1" applyBorder="1" applyAlignment="1">
      <alignment horizontal="center" vertical="top"/>
    </xf>
    <xf numFmtId="167" fontId="28" fillId="4" borderId="4" xfId="1" applyNumberFormat="1" applyFont="1" applyFill="1" applyBorder="1" applyAlignment="1">
      <alignment horizontal="center" vertical="top"/>
    </xf>
    <xf numFmtId="167" fontId="28" fillId="4" borderId="4" xfId="1" applyNumberFormat="1" applyFont="1" applyFill="1" applyBorder="1" applyAlignment="1">
      <alignment horizontal="center" vertical="center"/>
    </xf>
    <xf numFmtId="167" fontId="28" fillId="4" borderId="29" xfId="1" applyNumberFormat="1" applyFont="1" applyFill="1" applyBorder="1" applyAlignment="1">
      <alignment horizontal="center" vertical="top"/>
    </xf>
    <xf numFmtId="164" fontId="28" fillId="0" borderId="6" xfId="1" applyNumberFormat="1" applyFont="1" applyFill="1" applyBorder="1" applyAlignment="1">
      <alignment horizontal="center" vertical="top"/>
    </xf>
    <xf numFmtId="164" fontId="22" fillId="35" borderId="6" xfId="1" applyNumberFormat="1" applyFont="1" applyFill="1" applyBorder="1" applyAlignment="1">
      <alignment horizontal="center" vertical="center"/>
    </xf>
    <xf numFmtId="164" fontId="37" fillId="4" borderId="6" xfId="1" applyNumberFormat="1" applyFont="1" applyFill="1" applyBorder="1" applyAlignment="1">
      <alignment horizontal="center" vertical="top"/>
    </xf>
    <xf numFmtId="164" fontId="22" fillId="35" borderId="6" xfId="1" applyNumberFormat="1" applyFont="1" applyFill="1" applyBorder="1" applyAlignment="1">
      <alignment horizontal="center" vertical="top"/>
    </xf>
    <xf numFmtId="164" fontId="28" fillId="4" borderId="6" xfId="1" applyNumberFormat="1" applyFont="1" applyFill="1" applyBorder="1" applyAlignment="1">
      <alignment horizontal="center" vertical="top"/>
    </xf>
    <xf numFmtId="164" fontId="37" fillId="4" borderId="6" xfId="1" applyNumberFormat="1" applyFont="1" applyFill="1" applyBorder="1" applyAlignment="1">
      <alignment horizontal="center" vertical="center"/>
    </xf>
    <xf numFmtId="164" fontId="37" fillId="0" borderId="6" xfId="1" applyNumberFormat="1" applyFont="1" applyFill="1" applyBorder="1" applyAlignment="1">
      <alignment horizontal="center" vertical="top"/>
    </xf>
    <xf numFmtId="164" fontId="37" fillId="0" borderId="42" xfId="1" applyNumberFormat="1" applyFont="1" applyFill="1" applyBorder="1" applyAlignment="1">
      <alignment horizontal="center" vertical="top"/>
    </xf>
    <xf numFmtId="164" fontId="28" fillId="4" borderId="42" xfId="1" applyNumberFormat="1" applyFont="1" applyFill="1" applyBorder="1" applyAlignment="1">
      <alignment horizontal="center" vertical="top"/>
    </xf>
    <xf numFmtId="0" fontId="37" fillId="35" borderId="6" xfId="0" applyFont="1" applyFill="1" applyBorder="1" applyAlignment="1">
      <alignment horizontal="left" vertical="center"/>
    </xf>
    <xf numFmtId="0" fontId="37" fillId="0" borderId="6" xfId="0" applyFont="1" applyBorder="1" applyAlignment="1">
      <alignment horizontal="left" vertical="top"/>
    </xf>
    <xf numFmtId="164" fontId="22" fillId="4" borderId="67" xfId="1" applyNumberFormat="1" applyFont="1" applyFill="1" applyBorder="1" applyAlignment="1">
      <alignment horizontal="center" vertical="top" wrapText="1"/>
    </xf>
    <xf numFmtId="0" fontId="33" fillId="0" borderId="35" xfId="3" quotePrefix="1" applyNumberFormat="1" applyFont="1" applyFill="1" applyBorder="1" applyAlignment="1">
      <alignment vertical="center" wrapText="1"/>
    </xf>
    <xf numFmtId="164" fontId="22" fillId="35" borderId="35" xfId="1" applyNumberFormat="1" applyFont="1" applyFill="1" applyBorder="1" applyAlignment="1">
      <alignment horizontal="left" vertical="center" wrapText="1"/>
    </xf>
    <xf numFmtId="164" fontId="22" fillId="35" borderId="35" xfId="1" applyNumberFormat="1" applyFont="1" applyFill="1" applyBorder="1" applyAlignment="1">
      <alignment horizontal="left" vertical="top" wrapText="1"/>
    </xf>
    <xf numFmtId="1" fontId="22" fillId="35" borderId="4" xfId="1" applyNumberFormat="1" applyFont="1" applyFill="1" applyBorder="1" applyAlignment="1">
      <alignment horizontal="center" vertical="center"/>
    </xf>
    <xf numFmtId="170" fontId="22" fillId="35" borderId="19" xfId="1" applyNumberFormat="1" applyFont="1" applyFill="1" applyBorder="1" applyAlignment="1">
      <alignment horizontal="center" vertical="center"/>
    </xf>
    <xf numFmtId="170" fontId="37" fillId="4" borderId="19" xfId="1" applyNumberFormat="1" applyFont="1" applyFill="1" applyBorder="1" applyAlignment="1">
      <alignment horizontal="center" vertical="top"/>
    </xf>
    <xf numFmtId="1" fontId="7" fillId="35" borderId="4" xfId="1" applyNumberFormat="1" applyFont="1" applyFill="1" applyBorder="1" applyAlignment="1">
      <alignment horizontal="center" vertical="top"/>
    </xf>
    <xf numFmtId="170" fontId="22" fillId="35" borderId="19" xfId="1" applyNumberFormat="1" applyFont="1" applyFill="1" applyBorder="1" applyAlignment="1">
      <alignment horizontal="center" vertical="top"/>
    </xf>
    <xf numFmtId="0" fontId="37" fillId="4" borderId="19" xfId="1" applyNumberFormat="1" applyFont="1" applyFill="1" applyBorder="1" applyAlignment="1">
      <alignment horizontal="center" vertical="top"/>
    </xf>
    <xf numFmtId="1" fontId="7" fillId="35" borderId="4" xfId="1" applyNumberFormat="1" applyFont="1" applyFill="1" applyBorder="1" applyAlignment="1">
      <alignment horizontal="center" vertical="center"/>
    </xf>
    <xf numFmtId="0" fontId="37" fillId="4" borderId="19" xfId="1" applyNumberFormat="1" applyFont="1" applyFill="1" applyBorder="1" applyAlignment="1">
      <alignment horizontal="center" vertical="center"/>
    </xf>
    <xf numFmtId="0" fontId="37" fillId="0" borderId="19" xfId="1" applyNumberFormat="1" applyFont="1" applyFill="1" applyBorder="1" applyAlignment="1">
      <alignment horizontal="center" vertical="top"/>
    </xf>
    <xf numFmtId="0" fontId="37" fillId="0" borderId="71" xfId="1" applyNumberFormat="1" applyFont="1" applyFill="1" applyBorder="1" applyAlignment="1">
      <alignment horizontal="center" vertical="top"/>
    </xf>
    <xf numFmtId="1" fontId="22" fillId="35" borderId="31" xfId="1" applyNumberFormat="1" applyFont="1" applyFill="1" applyBorder="1" applyAlignment="1">
      <alignment horizontal="center" vertical="center"/>
    </xf>
    <xf numFmtId="0" fontId="37" fillId="4" borderId="71" xfId="1" applyNumberFormat="1" applyFont="1" applyFill="1" applyBorder="1" applyAlignment="1">
      <alignment horizontal="center" vertical="top"/>
    </xf>
    <xf numFmtId="1" fontId="4" fillId="4" borderId="19" xfId="1" applyNumberFormat="1" applyFont="1" applyFill="1" applyBorder="1" applyAlignment="1">
      <alignment horizontal="center" vertical="top" wrapText="1"/>
    </xf>
    <xf numFmtId="1" fontId="37" fillId="4" borderId="7" xfId="1" applyNumberFormat="1" applyFont="1" applyFill="1" applyBorder="1" applyAlignment="1">
      <alignment horizontal="center" vertical="top"/>
    </xf>
    <xf numFmtId="1" fontId="37" fillId="4" borderId="21" xfId="1" applyNumberFormat="1" applyFont="1" applyFill="1" applyBorder="1" applyAlignment="1">
      <alignment horizontal="center" vertical="top"/>
    </xf>
    <xf numFmtId="0" fontId="37" fillId="4" borderId="20" xfId="1" applyNumberFormat="1" applyFont="1" applyFill="1" applyBorder="1" applyAlignment="1">
      <alignment horizontal="center" vertical="top"/>
    </xf>
    <xf numFmtId="164" fontId="22" fillId="4" borderId="3" xfId="1" applyNumberFormat="1" applyFont="1" applyFill="1" applyBorder="1" applyAlignment="1">
      <alignment horizontal="center" vertical="center" wrapText="1"/>
    </xf>
    <xf numFmtId="164" fontId="22" fillId="4" borderId="63" xfId="1" applyNumberFormat="1" applyFont="1" applyFill="1" applyBorder="1" applyAlignment="1">
      <alignment horizontal="center" vertical="top" wrapText="1"/>
    </xf>
    <xf numFmtId="164" fontId="22" fillId="4" borderId="81" xfId="1" applyNumberFormat="1" applyFont="1" applyFill="1" applyBorder="1" applyAlignment="1">
      <alignment horizontal="center" vertical="center"/>
    </xf>
    <xf numFmtId="49" fontId="22" fillId="4" borderId="21" xfId="1" applyNumberFormat="1" applyFont="1" applyFill="1" applyBorder="1" applyAlignment="1">
      <alignment horizontal="center" vertical="center"/>
    </xf>
    <xf numFmtId="49" fontId="22" fillId="4" borderId="20" xfId="1" applyNumberFormat="1" applyFont="1" applyFill="1" applyBorder="1" applyAlignment="1">
      <alignment horizontal="center" vertical="center"/>
    </xf>
    <xf numFmtId="49" fontId="22" fillId="4" borderId="7" xfId="1" applyNumberFormat="1" applyFont="1" applyFill="1" applyBorder="1" applyAlignment="1">
      <alignment horizontal="center" vertical="center"/>
    </xf>
    <xf numFmtId="164" fontId="22" fillId="34" borderId="69" xfId="1" applyNumberFormat="1" applyFont="1" applyFill="1" applyBorder="1" applyAlignment="1">
      <alignment horizontal="left" vertical="center" wrapText="1"/>
    </xf>
    <xf numFmtId="164" fontId="22" fillId="34" borderId="42" xfId="1" applyNumberFormat="1" applyFont="1" applyFill="1" applyBorder="1" applyAlignment="1">
      <alignment horizontal="center" vertical="center"/>
    </xf>
    <xf numFmtId="167" fontId="22" fillId="34" borderId="29" xfId="1" applyNumberFormat="1" applyFont="1" applyFill="1" applyBorder="1" applyAlignment="1">
      <alignment horizontal="center" vertical="center"/>
    </xf>
    <xf numFmtId="167" fontId="22" fillId="34" borderId="71" xfId="1" applyNumberFormat="1" applyFont="1" applyFill="1" applyBorder="1" applyAlignment="1">
      <alignment horizontal="center" vertical="center"/>
    </xf>
    <xf numFmtId="167" fontId="22" fillId="34" borderId="13" xfId="1" applyNumberFormat="1" applyFont="1" applyFill="1" applyBorder="1" applyAlignment="1">
      <alignment horizontal="center" vertical="center"/>
    </xf>
    <xf numFmtId="164" fontId="28" fillId="0" borderId="35" xfId="1" applyNumberFormat="1" applyFont="1" applyFill="1" applyBorder="1" applyAlignment="1">
      <alignment vertical="top" wrapText="1"/>
    </xf>
    <xf numFmtId="164" fontId="22" fillId="35" borderId="35" xfId="1" applyNumberFormat="1" applyFont="1" applyFill="1" applyBorder="1" applyAlignment="1">
      <alignment vertical="center" wrapText="1"/>
    </xf>
    <xf numFmtId="164" fontId="37" fillId="4" borderId="35" xfId="1" applyNumberFormat="1" applyFont="1" applyFill="1" applyBorder="1" applyAlignment="1">
      <alignment vertical="top" wrapText="1"/>
    </xf>
    <xf numFmtId="164" fontId="22" fillId="35" borderId="35" xfId="1" applyNumberFormat="1" applyFont="1" applyFill="1" applyBorder="1" applyAlignment="1">
      <alignment vertical="top" wrapText="1"/>
    </xf>
    <xf numFmtId="164" fontId="28" fillId="4" borderId="35" xfId="1" applyNumberFormat="1" applyFont="1" applyFill="1" applyBorder="1" applyAlignment="1">
      <alignment vertical="top" wrapText="1"/>
    </xf>
    <xf numFmtId="164" fontId="37" fillId="4" borderId="35" xfId="1" applyNumberFormat="1" applyFont="1" applyFill="1" applyBorder="1" applyAlignment="1">
      <alignment vertical="center" wrapText="1"/>
    </xf>
    <xf numFmtId="164" fontId="37" fillId="0" borderId="35" xfId="1" applyNumberFormat="1" applyFont="1" applyFill="1" applyBorder="1" applyAlignment="1">
      <alignment vertical="top" wrapText="1"/>
    </xf>
    <xf numFmtId="164" fontId="28" fillId="4" borderId="69" xfId="1" applyNumberFormat="1" applyFont="1" applyFill="1" applyBorder="1" applyAlignment="1">
      <alignment vertical="top" wrapText="1"/>
    </xf>
    <xf numFmtId="164" fontId="37" fillId="0" borderId="36" xfId="1" applyNumberFormat="1" applyFont="1" applyFill="1" applyBorder="1" applyAlignment="1">
      <alignment vertical="top" wrapText="1"/>
    </xf>
    <xf numFmtId="164" fontId="22" fillId="4" borderId="6" xfId="1" applyNumberFormat="1" applyFont="1" applyFill="1" applyBorder="1" applyAlignment="1">
      <alignment horizontal="center" vertical="center"/>
    </xf>
    <xf numFmtId="164" fontId="37" fillId="4" borderId="42" xfId="1" applyNumberFormat="1" applyFont="1" applyFill="1" applyBorder="1" applyAlignment="1">
      <alignment horizontal="center" vertical="top"/>
    </xf>
    <xf numFmtId="164" fontId="22" fillId="34" borderId="69" xfId="1" applyNumberFormat="1" applyFont="1" applyFill="1" applyBorder="1" applyAlignment="1">
      <alignment vertical="top" wrapText="1"/>
    </xf>
    <xf numFmtId="164" fontId="22" fillId="34" borderId="42" xfId="1" applyNumberFormat="1" applyFont="1" applyFill="1" applyBorder="1" applyAlignment="1">
      <alignment horizontal="center" vertical="top"/>
    </xf>
    <xf numFmtId="167" fontId="22" fillId="34" borderId="29" xfId="1" applyNumberFormat="1" applyFont="1" applyFill="1" applyBorder="1" applyAlignment="1">
      <alignment horizontal="center" vertical="top"/>
    </xf>
    <xf numFmtId="167" fontId="22" fillId="34" borderId="71" xfId="1" applyNumberFormat="1" applyFont="1" applyFill="1" applyBorder="1" applyAlignment="1">
      <alignment horizontal="center" vertical="top"/>
    </xf>
    <xf numFmtId="167" fontId="22" fillId="34" borderId="13" xfId="1" applyNumberFormat="1" applyFont="1" applyFill="1" applyBorder="1" applyAlignment="1">
      <alignment horizontal="center" vertical="top"/>
    </xf>
    <xf numFmtId="167" fontId="22" fillId="0" borderId="28" xfId="1" applyNumberFormat="1" applyFont="1" applyFill="1" applyBorder="1" applyAlignment="1">
      <alignment horizontal="center" vertical="top"/>
    </xf>
    <xf numFmtId="167" fontId="22" fillId="4" borderId="11" xfId="1" applyNumberFormat="1" applyFont="1" applyFill="1" applyBorder="1" applyAlignment="1">
      <alignment horizontal="center" vertical="top"/>
    </xf>
    <xf numFmtId="167" fontId="22" fillId="4" borderId="18" xfId="1" applyNumberFormat="1" applyFont="1" applyFill="1" applyBorder="1" applyAlignment="1">
      <alignment horizontal="center" vertical="top"/>
    </xf>
    <xf numFmtId="167" fontId="22" fillId="0" borderId="28" xfId="1" applyNumberFormat="1" applyFont="1" applyFill="1" applyBorder="1" applyAlignment="1">
      <alignment horizontal="center" vertical="center"/>
    </xf>
    <xf numFmtId="167" fontId="22" fillId="4" borderId="11" xfId="1" applyNumberFormat="1" applyFont="1" applyFill="1" applyBorder="1" applyAlignment="1">
      <alignment horizontal="center" vertical="center"/>
    </xf>
    <xf numFmtId="167" fontId="22" fillId="4" borderId="18" xfId="1" applyNumberFormat="1" applyFont="1" applyFill="1" applyBorder="1" applyAlignment="1">
      <alignment horizontal="center" vertical="center"/>
    </xf>
    <xf numFmtId="49" fontId="22" fillId="4" borderId="33" xfId="1" applyNumberFormat="1" applyFont="1" applyFill="1" applyBorder="1" applyAlignment="1">
      <alignment horizontal="center" vertical="center"/>
    </xf>
    <xf numFmtId="49" fontId="22" fillId="4" borderId="38" xfId="1" applyNumberFormat="1" applyFont="1" applyFill="1" applyBorder="1" applyAlignment="1">
      <alignment horizontal="center" vertical="center"/>
    </xf>
    <xf numFmtId="49" fontId="22" fillId="4" borderId="37" xfId="1" applyNumberFormat="1" applyFont="1" applyFill="1" applyBorder="1" applyAlignment="1">
      <alignment horizontal="center" vertical="center"/>
    </xf>
    <xf numFmtId="1" fontId="22" fillId="35" borderId="9" xfId="1" applyNumberFormat="1" applyFont="1" applyFill="1" applyBorder="1" applyAlignment="1">
      <alignment horizontal="center" vertical="top"/>
    </xf>
    <xf numFmtId="0" fontId="44" fillId="0" borderId="0" xfId="0" applyFont="1" applyAlignment="1">
      <alignment horizontal="center" vertical="top"/>
    </xf>
    <xf numFmtId="0" fontId="37" fillId="0" borderId="9" xfId="52" applyFont="1" applyFill="1" applyBorder="1" applyAlignment="1">
      <alignment horizontal="center" vertical="center" wrapText="1"/>
    </xf>
    <xf numFmtId="0" fontId="51" fillId="0" borderId="0" xfId="52" applyFont="1" applyFill="1" applyAlignment="1">
      <alignment horizontal="left" vertical="center" wrapText="1"/>
    </xf>
    <xf numFmtId="167" fontId="22" fillId="34" borderId="41" xfId="1" applyNumberFormat="1" applyFont="1" applyFill="1" applyBorder="1" applyAlignment="1">
      <alignment horizontal="center" vertical="center"/>
    </xf>
    <xf numFmtId="167" fontId="28" fillId="0" borderId="5" xfId="1" applyNumberFormat="1" applyFont="1" applyFill="1" applyBorder="1" applyAlignment="1">
      <alignment horizontal="center" vertical="top"/>
    </xf>
    <xf numFmtId="167" fontId="22" fillId="35" borderId="5" xfId="1" applyNumberFormat="1" applyFont="1" applyFill="1" applyBorder="1" applyAlignment="1">
      <alignment horizontal="center" vertical="center"/>
    </xf>
    <xf numFmtId="167" fontId="33" fillId="0" borderId="5" xfId="1" applyNumberFormat="1" applyFont="1" applyFill="1" applyBorder="1" applyAlignment="1">
      <alignment horizontal="center" vertical="top"/>
    </xf>
    <xf numFmtId="167" fontId="22" fillId="35" borderId="5" xfId="1" applyNumberFormat="1" applyFont="1" applyFill="1" applyBorder="1" applyAlignment="1">
      <alignment horizontal="center" vertical="top"/>
    </xf>
    <xf numFmtId="167" fontId="33" fillId="0" borderId="5" xfId="1" applyNumberFormat="1" applyFont="1" applyFill="1" applyBorder="1" applyAlignment="1">
      <alignment vertical="top"/>
    </xf>
    <xf numFmtId="167" fontId="28" fillId="4" borderId="8" xfId="1" applyNumberFormat="1" applyFont="1" applyFill="1" applyBorder="1" applyAlignment="1">
      <alignment horizontal="center" vertical="top"/>
    </xf>
    <xf numFmtId="167" fontId="22" fillId="34" borderId="32" xfId="1" applyNumberFormat="1" applyFont="1" applyFill="1" applyBorder="1" applyAlignment="1">
      <alignment horizontal="center" vertical="center"/>
    </xf>
    <xf numFmtId="167" fontId="33" fillId="0" borderId="10" xfId="1" applyNumberFormat="1" applyFont="1" applyFill="1" applyBorder="1" applyAlignment="1">
      <alignment horizontal="center" vertical="top"/>
    </xf>
    <xf numFmtId="167" fontId="22" fillId="35" borderId="10" xfId="1" applyNumberFormat="1" applyFont="1" applyFill="1" applyBorder="1" applyAlignment="1">
      <alignment horizontal="center" vertical="center"/>
    </xf>
    <xf numFmtId="167" fontId="22" fillId="35" borderId="10" xfId="1" applyNumberFormat="1" applyFont="1" applyFill="1" applyBorder="1" applyAlignment="1">
      <alignment horizontal="center" vertical="top"/>
    </xf>
    <xf numFmtId="167" fontId="33" fillId="0" borderId="27" xfId="1" applyNumberFormat="1" applyFont="1" applyFill="1" applyBorder="1" applyAlignment="1">
      <alignment horizontal="center" vertical="top"/>
    </xf>
    <xf numFmtId="49" fontId="22" fillId="0" borderId="28" xfId="1" applyNumberFormat="1" applyFont="1" applyFill="1" applyBorder="1" applyAlignment="1">
      <alignment horizontal="center" vertical="center"/>
    </xf>
    <xf numFmtId="49" fontId="22" fillId="4" borderId="11" xfId="1" applyNumberFormat="1" applyFont="1" applyFill="1" applyBorder="1" applyAlignment="1">
      <alignment horizontal="center" vertical="center"/>
    </xf>
    <xf numFmtId="49" fontId="22" fillId="4" borderId="18" xfId="1" applyNumberFormat="1" applyFont="1" applyFill="1" applyBorder="1" applyAlignment="1">
      <alignment horizontal="center" vertical="center"/>
    </xf>
    <xf numFmtId="167" fontId="22" fillId="34" borderId="1" xfId="1" applyNumberFormat="1" applyFont="1" applyFill="1" applyBorder="1" applyAlignment="1">
      <alignment horizontal="center" vertical="center"/>
    </xf>
    <xf numFmtId="167" fontId="22" fillId="34" borderId="16" xfId="1" applyNumberFormat="1" applyFont="1" applyFill="1" applyBorder="1" applyAlignment="1">
      <alignment horizontal="center" vertical="center"/>
    </xf>
    <xf numFmtId="167" fontId="22" fillId="34" borderId="17" xfId="1" applyNumberFormat="1" applyFont="1" applyFill="1" applyBorder="1" applyAlignment="1">
      <alignment horizontal="center" vertical="center"/>
    </xf>
    <xf numFmtId="0" fontId="28" fillId="0" borderId="0" xfId="111" applyFont="1"/>
    <xf numFmtId="0" fontId="28" fillId="0" borderId="0" xfId="111" applyFont="1" applyAlignment="1">
      <alignment horizontal="center"/>
    </xf>
    <xf numFmtId="165" fontId="28" fillId="0" borderId="9" xfId="111" applyNumberFormat="1" applyFont="1" applyFill="1" applyBorder="1" applyAlignment="1">
      <alignment horizontal="center" vertical="center" wrapText="1"/>
    </xf>
    <xf numFmtId="0" fontId="28" fillId="5" borderId="0" xfId="111" applyFont="1" applyFill="1"/>
    <xf numFmtId="0" fontId="28" fillId="5" borderId="42" xfId="111" applyFont="1" applyFill="1" applyBorder="1" applyAlignment="1"/>
    <xf numFmtId="0" fontId="28" fillId="5" borderId="0" xfId="111" applyFont="1" applyFill="1" applyAlignment="1">
      <alignment horizontal="center"/>
    </xf>
    <xf numFmtId="0" fontId="28" fillId="0" borderId="0" xfId="111" applyFont="1" applyAlignment="1">
      <alignment horizontal="left"/>
    </xf>
    <xf numFmtId="0" fontId="13" fillId="0" borderId="0" xfId="111" applyFont="1"/>
    <xf numFmtId="0" fontId="28" fillId="0" borderId="0" xfId="111" applyFont="1" applyFill="1"/>
    <xf numFmtId="0" fontId="22" fillId="5" borderId="0" xfId="111" applyFont="1" applyFill="1"/>
    <xf numFmtId="165" fontId="28" fillId="5" borderId="9" xfId="111" applyNumberFormat="1" applyFont="1" applyFill="1" applyBorder="1" applyAlignment="1">
      <alignment horizontal="center" wrapText="1"/>
    </xf>
    <xf numFmtId="165" fontId="22" fillId="5" borderId="9" xfId="111" applyNumberFormat="1" applyFont="1" applyFill="1" applyBorder="1" applyAlignment="1">
      <alignment horizontal="center" wrapText="1"/>
    </xf>
    <xf numFmtId="0" fontId="22" fillId="0" borderId="9" xfId="111" applyFont="1" applyBorder="1" applyAlignment="1">
      <alignment wrapText="1"/>
    </xf>
    <xf numFmtId="0" fontId="21" fillId="5" borderId="9" xfId="111" applyFont="1" applyFill="1" applyBorder="1" applyAlignment="1">
      <alignment horizontal="center" wrapText="1"/>
    </xf>
    <xf numFmtId="0" fontId="28" fillId="0" borderId="13" xfId="111" applyFont="1" applyFill="1" applyBorder="1"/>
    <xf numFmtId="0" fontId="28" fillId="0" borderId="12" xfId="111" applyFont="1" applyFill="1" applyBorder="1"/>
    <xf numFmtId="165" fontId="28" fillId="5" borderId="9" xfId="111" applyNumberFormat="1" applyFont="1" applyFill="1" applyBorder="1" applyAlignment="1">
      <alignment horizontal="left" vertical="center" wrapText="1"/>
    </xf>
    <xf numFmtId="0" fontId="28" fillId="0" borderId="11" xfId="111" applyFont="1" applyFill="1" applyBorder="1"/>
    <xf numFmtId="165" fontId="28" fillId="0" borderId="9" xfId="111" applyNumberFormat="1" applyFont="1" applyFill="1" applyBorder="1" applyAlignment="1">
      <alignment horizontal="center" wrapText="1"/>
    </xf>
    <xf numFmtId="0" fontId="21" fillId="0" borderId="9" xfId="111" applyFont="1" applyFill="1" applyBorder="1" applyAlignment="1">
      <alignment horizontal="center" wrapText="1"/>
    </xf>
    <xf numFmtId="0" fontId="37" fillId="0" borderId="11" xfId="111" applyFont="1" applyFill="1" applyBorder="1" applyAlignment="1">
      <alignment horizontal="center" vertical="center" wrapText="1"/>
    </xf>
    <xf numFmtId="0" fontId="28" fillId="0" borderId="9" xfId="111" applyFont="1" applyFill="1" applyBorder="1" applyAlignment="1">
      <alignment wrapText="1"/>
    </xf>
    <xf numFmtId="0" fontId="37" fillId="0" borderId="9" xfId="111" applyFont="1" applyFill="1" applyBorder="1" applyAlignment="1">
      <alignment horizontal="center" vertical="center" wrapText="1"/>
    </xf>
    <xf numFmtId="0" fontId="22" fillId="11" borderId="0" xfId="111" applyFont="1" applyFill="1"/>
    <xf numFmtId="165" fontId="22" fillId="11" borderId="9" xfId="111" applyNumberFormat="1" applyFont="1" applyFill="1" applyBorder="1" applyAlignment="1">
      <alignment horizontal="center" wrapText="1"/>
    </xf>
    <xf numFmtId="0" fontId="48" fillId="11" borderId="9" xfId="111" applyFont="1" applyFill="1" applyBorder="1" applyAlignment="1">
      <alignment wrapText="1"/>
    </xf>
    <xf numFmtId="0" fontId="21" fillId="11" borderId="9" xfId="111" applyFont="1" applyFill="1" applyBorder="1" applyAlignment="1">
      <alignment horizontal="center" wrapText="1"/>
    </xf>
    <xf numFmtId="165" fontId="28" fillId="5" borderId="43" xfId="111" applyNumberFormat="1" applyFont="1" applyFill="1" applyBorder="1" applyAlignment="1">
      <alignment wrapText="1"/>
    </xf>
    <xf numFmtId="0" fontId="28" fillId="5" borderId="43" xfId="111" applyFont="1" applyFill="1" applyBorder="1" applyAlignment="1">
      <alignment wrapText="1"/>
    </xf>
    <xf numFmtId="165" fontId="28" fillId="5" borderId="9" xfId="111" applyNumberFormat="1" applyFont="1" applyFill="1" applyBorder="1" applyAlignment="1">
      <alignment horizontal="center" vertical="center" wrapText="1"/>
    </xf>
    <xf numFmtId="0" fontId="22" fillId="0" borderId="9" xfId="111" applyFont="1" applyBorder="1" applyAlignment="1">
      <alignment horizontal="left" vertical="center" wrapText="1"/>
    </xf>
    <xf numFmtId="49" fontId="55" fillId="0" borderId="32" xfId="111" applyNumberFormat="1" applyFont="1" applyFill="1" applyBorder="1" applyAlignment="1">
      <alignment horizontal="center" vertical="center" wrapText="1"/>
    </xf>
    <xf numFmtId="0" fontId="28" fillId="0" borderId="32" xfId="111" applyFont="1" applyFill="1" applyBorder="1"/>
    <xf numFmtId="0" fontId="28" fillId="0" borderId="0" xfId="111" applyFont="1" applyFill="1" applyBorder="1"/>
    <xf numFmtId="165" fontId="22" fillId="5" borderId="9" xfId="111" applyNumberFormat="1" applyFont="1" applyFill="1" applyBorder="1" applyAlignment="1">
      <alignment horizontal="center" vertical="center" wrapText="1"/>
    </xf>
    <xf numFmtId="0" fontId="28" fillId="0" borderId="51" xfId="111" applyFont="1" applyFill="1" applyBorder="1"/>
    <xf numFmtId="0" fontId="28" fillId="0" borderId="9" xfId="111" applyFont="1" applyBorder="1" applyAlignment="1">
      <alignment horizontal="left" vertical="center" wrapText="1"/>
    </xf>
    <xf numFmtId="0" fontId="28" fillId="5" borderId="0" xfId="111" applyFont="1" applyFill="1" applyAlignment="1">
      <alignment horizontal="center" vertical="center"/>
    </xf>
    <xf numFmtId="0" fontId="22" fillId="5" borderId="0" xfId="111" applyFont="1" applyFill="1" applyAlignment="1">
      <alignment horizontal="center" vertical="center"/>
    </xf>
    <xf numFmtId="165" fontId="28" fillId="9" borderId="9" xfId="111" applyNumberFormat="1" applyFont="1" applyFill="1" applyBorder="1" applyAlignment="1">
      <alignment horizontal="center" vertical="center" wrapText="1"/>
    </xf>
    <xf numFmtId="0" fontId="22" fillId="9" borderId="9" xfId="111" applyFont="1" applyFill="1" applyBorder="1" applyAlignment="1">
      <alignment horizontal="left" vertical="center" wrapText="1"/>
    </xf>
    <xf numFmtId="49" fontId="55" fillId="9" borderId="32" xfId="111" applyNumberFormat="1" applyFont="1" applyFill="1" applyBorder="1" applyAlignment="1">
      <alignment horizontal="center" vertical="center" wrapText="1"/>
    </xf>
    <xf numFmtId="0" fontId="22" fillId="0" borderId="9" xfId="111" applyFont="1" applyFill="1" applyBorder="1" applyAlignment="1">
      <alignment horizontal="left" vertical="center" wrapText="1"/>
    </xf>
    <xf numFmtId="0" fontId="28" fillId="0" borderId="9" xfId="111" applyFont="1" applyFill="1" applyBorder="1" applyAlignment="1">
      <alignment horizontal="left" vertical="center" wrapText="1"/>
    </xf>
    <xf numFmtId="0" fontId="28" fillId="0" borderId="0" xfId="111" applyFont="1" applyFill="1" applyAlignment="1">
      <alignment horizontal="center" vertical="center"/>
    </xf>
    <xf numFmtId="165" fontId="28" fillId="0" borderId="9" xfId="111" applyNumberFormat="1" applyFont="1" applyBorder="1" applyAlignment="1">
      <alignment horizontal="center" vertical="center" wrapText="1"/>
    </xf>
    <xf numFmtId="0" fontId="28" fillId="0" borderId="0" xfId="111" applyFont="1" applyAlignment="1">
      <alignment horizontal="center" vertical="center"/>
    </xf>
    <xf numFmtId="0" fontId="22" fillId="5" borderId="9" xfId="111" applyFont="1" applyFill="1" applyBorder="1" applyAlignment="1">
      <alignment horizontal="left" vertical="center" wrapText="1"/>
    </xf>
    <xf numFmtId="0" fontId="28" fillId="5" borderId="9" xfId="111" applyFont="1" applyFill="1" applyBorder="1" applyAlignment="1">
      <alignment horizontal="left" vertical="center" wrapText="1"/>
    </xf>
    <xf numFmtId="165" fontId="28" fillId="4" borderId="9" xfId="111" applyNumberFormat="1" applyFont="1" applyFill="1" applyBorder="1" applyAlignment="1">
      <alignment horizontal="center" vertical="center" wrapText="1"/>
    </xf>
    <xf numFmtId="49" fontId="22" fillId="0" borderId="9" xfId="111" applyNumberFormat="1" applyFont="1" applyFill="1" applyBorder="1" applyAlignment="1">
      <alignment horizontal="left" vertical="center" wrapText="1"/>
    </xf>
    <xf numFmtId="49" fontId="22" fillId="0" borderId="32" xfId="111" applyNumberFormat="1" applyFont="1" applyFill="1" applyBorder="1" applyAlignment="1">
      <alignment horizontal="center" vertical="center" wrapText="1"/>
    </xf>
    <xf numFmtId="165" fontId="28" fillId="5" borderId="0" xfId="111" applyNumberFormat="1" applyFont="1" applyFill="1" applyAlignment="1">
      <alignment horizontal="center" vertical="center"/>
    </xf>
    <xf numFmtId="49" fontId="22" fillId="0" borderId="13" xfId="111" applyNumberFormat="1" applyFont="1" applyFill="1" applyBorder="1" applyAlignment="1">
      <alignment horizontal="left" vertical="center" wrapText="1"/>
    </xf>
    <xf numFmtId="0" fontId="13" fillId="0" borderId="10" xfId="111" applyFont="1" applyFill="1" applyBorder="1" applyAlignment="1">
      <alignment horizontal="center" vertical="center" wrapText="1"/>
    </xf>
    <xf numFmtId="0" fontId="13" fillId="9" borderId="10" xfId="111" applyFont="1" applyFill="1" applyBorder="1" applyAlignment="1">
      <alignment horizontal="center" vertical="center" wrapText="1"/>
    </xf>
    <xf numFmtId="165" fontId="22" fillId="11" borderId="9" xfId="111" applyNumberFormat="1" applyFont="1" applyFill="1" applyBorder="1" applyAlignment="1">
      <alignment horizontal="center" vertical="center" wrapText="1"/>
    </xf>
    <xf numFmtId="0" fontId="22" fillId="11" borderId="9" xfId="111" applyFont="1" applyFill="1" applyBorder="1" applyAlignment="1">
      <alignment horizontal="left" vertical="center" wrapText="1"/>
    </xf>
    <xf numFmtId="0" fontId="21" fillId="11" borderId="10" xfId="111" applyFont="1" applyFill="1" applyBorder="1" applyAlignment="1">
      <alignment horizontal="center" vertical="center" wrapText="1"/>
    </xf>
    <xf numFmtId="0" fontId="22" fillId="11" borderId="9" xfId="111" applyFont="1" applyFill="1" applyBorder="1" applyAlignment="1">
      <alignment wrapText="1"/>
    </xf>
    <xf numFmtId="0" fontId="22" fillId="0" borderId="0" xfId="111" applyFont="1" applyFill="1" applyAlignment="1">
      <alignment horizontal="center" vertical="center"/>
    </xf>
    <xf numFmtId="0" fontId="13" fillId="0" borderId="10" xfId="111" applyFont="1" applyBorder="1" applyAlignment="1">
      <alignment horizontal="center" vertical="center" wrapText="1"/>
    </xf>
    <xf numFmtId="0" fontId="8" fillId="0" borderId="9" xfId="111" applyFont="1" applyFill="1" applyBorder="1" applyAlignment="1">
      <alignment horizontal="center" vertical="top" wrapText="1"/>
    </xf>
    <xf numFmtId="0" fontId="8" fillId="0" borderId="11" xfId="111" applyFont="1" applyFill="1" applyBorder="1" applyAlignment="1">
      <alignment horizontal="center" vertical="top" wrapText="1"/>
    </xf>
    <xf numFmtId="0" fontId="13" fillId="0" borderId="9" xfId="111" applyFont="1" applyBorder="1" applyAlignment="1">
      <alignment horizontal="center" wrapText="1"/>
    </xf>
    <xf numFmtId="0" fontId="13" fillId="0" borderId="13" xfId="111" applyFont="1" applyBorder="1" applyAlignment="1">
      <alignment horizontal="center" wrapText="1"/>
    </xf>
    <xf numFmtId="0" fontId="37" fillId="0" borderId="13" xfId="111" applyFont="1" applyFill="1" applyBorder="1" applyAlignment="1">
      <alignment horizontal="center" vertical="center" wrapText="1"/>
    </xf>
    <xf numFmtId="0" fontId="13" fillId="0" borderId="10" xfId="111" applyFont="1" applyBorder="1" applyAlignment="1">
      <alignment horizontal="centerContinuous" wrapText="1"/>
    </xf>
    <xf numFmtId="0" fontId="13" fillId="0" borderId="9" xfId="111" applyFont="1" applyBorder="1" applyAlignment="1">
      <alignment horizontal="centerContinuous" wrapText="1"/>
    </xf>
    <xf numFmtId="0" fontId="13" fillId="0" borderId="5" xfId="111" applyFont="1" applyBorder="1" applyAlignment="1">
      <alignment horizontal="centerContinuous" wrapText="1"/>
    </xf>
    <xf numFmtId="0" fontId="28" fillId="5" borderId="42" xfId="111" applyFont="1" applyFill="1" applyBorder="1" applyAlignment="1">
      <alignment wrapText="1"/>
    </xf>
    <xf numFmtId="0" fontId="28" fillId="5" borderId="0" xfId="111" applyFont="1" applyFill="1" applyBorder="1" applyAlignment="1">
      <alignment horizontal="centerContinuous" wrapText="1"/>
    </xf>
    <xf numFmtId="0" fontId="28" fillId="5" borderId="0" xfId="111" applyFont="1" applyFill="1" applyBorder="1" applyAlignment="1">
      <alignment horizontal="left"/>
    </xf>
    <xf numFmtId="0" fontId="13" fillId="5" borderId="0" xfId="111" applyFont="1" applyFill="1" applyBorder="1" applyAlignment="1">
      <alignment wrapText="1"/>
    </xf>
    <xf numFmtId="0" fontId="22" fillId="5" borderId="0" xfId="111" applyFont="1" applyFill="1" applyBorder="1" applyAlignment="1">
      <alignment horizontal="centerContinuous" wrapText="1"/>
    </xf>
    <xf numFmtId="0" fontId="43" fillId="5" borderId="0" xfId="111" applyFont="1" applyFill="1" applyBorder="1" applyAlignment="1">
      <alignment horizontal="left" wrapText="1"/>
    </xf>
    <xf numFmtId="0" fontId="13" fillId="5" borderId="0" xfId="111" applyFont="1" applyFill="1"/>
    <xf numFmtId="49" fontId="22" fillId="5" borderId="9" xfId="111" applyNumberFormat="1" applyFont="1" applyFill="1" applyBorder="1"/>
    <xf numFmtId="0" fontId="22" fillId="5" borderId="9" xfId="111" applyFont="1" applyFill="1" applyBorder="1"/>
    <xf numFmtId="0" fontId="28" fillId="5" borderId="0" xfId="111" applyFont="1" applyFill="1" applyAlignment="1">
      <alignment horizontal="left" vertical="center"/>
    </xf>
    <xf numFmtId="0" fontId="51" fillId="0" borderId="0" xfId="111" applyFont="1" applyFill="1" applyAlignment="1">
      <alignment horizontal="left" vertical="center" wrapText="1"/>
    </xf>
    <xf numFmtId="0" fontId="28" fillId="5" borderId="0" xfId="111" applyFont="1" applyFill="1" applyBorder="1" applyAlignment="1">
      <alignment horizontal="left" vertical="center" wrapText="1"/>
    </xf>
    <xf numFmtId="0" fontId="13" fillId="5" borderId="0" xfId="111" applyFont="1" applyFill="1" applyBorder="1" applyAlignment="1">
      <alignment horizontal="left" vertical="center" wrapText="1"/>
    </xf>
    <xf numFmtId="49" fontId="22" fillId="5" borderId="13" xfId="111" applyNumberFormat="1" applyFont="1" applyFill="1" applyBorder="1"/>
    <xf numFmtId="0" fontId="22" fillId="5" borderId="13" xfId="111" applyFont="1" applyFill="1" applyBorder="1"/>
    <xf numFmtId="0" fontId="22" fillId="5" borderId="0" xfId="111" applyFont="1" applyFill="1" applyBorder="1" applyAlignment="1">
      <alignment horizontal="center" wrapText="1"/>
    </xf>
    <xf numFmtId="0" fontId="28" fillId="0" borderId="11" xfId="52" applyFont="1" applyFill="1" applyBorder="1" applyAlignment="1">
      <alignment vertical="center"/>
    </xf>
    <xf numFmtId="0" fontId="28" fillId="0" borderId="12" xfId="52" applyFont="1" applyFill="1" applyBorder="1" applyAlignment="1">
      <alignment vertical="center"/>
    </xf>
    <xf numFmtId="0" fontId="28" fillId="0" borderId="13" xfId="52" applyFont="1" applyFill="1" applyBorder="1" applyAlignment="1">
      <alignment vertical="center"/>
    </xf>
    <xf numFmtId="167" fontId="22" fillId="34" borderId="41" xfId="1" applyNumberFormat="1" applyFont="1" applyFill="1" applyBorder="1" applyAlignment="1">
      <alignment horizontal="center" vertical="top"/>
    </xf>
    <xf numFmtId="167" fontId="22" fillId="34" borderId="32" xfId="1" applyNumberFormat="1" applyFont="1" applyFill="1" applyBorder="1" applyAlignment="1">
      <alignment horizontal="center" vertical="top"/>
    </xf>
    <xf numFmtId="49" fontId="22" fillId="0" borderId="30" xfId="1" applyNumberFormat="1" applyFont="1" applyFill="1" applyBorder="1" applyAlignment="1">
      <alignment horizontal="center" vertical="center"/>
    </xf>
    <xf numFmtId="167" fontId="22" fillId="34" borderId="34" xfId="1" applyNumberFormat="1" applyFont="1" applyFill="1" applyBorder="1" applyAlignment="1">
      <alignment horizontal="center" vertical="top"/>
    </xf>
    <xf numFmtId="167" fontId="28" fillId="0" borderId="35" xfId="1" applyNumberFormat="1" applyFont="1" applyFill="1" applyBorder="1" applyAlignment="1">
      <alignment horizontal="center" vertical="top"/>
    </xf>
    <xf numFmtId="167" fontId="22" fillId="35" borderId="35" xfId="1" applyNumberFormat="1" applyFont="1" applyFill="1" applyBorder="1" applyAlignment="1">
      <alignment horizontal="center" vertical="center"/>
    </xf>
    <xf numFmtId="167" fontId="33" fillId="0" borderId="35" xfId="1" applyNumberFormat="1" applyFont="1" applyFill="1" applyBorder="1" applyAlignment="1">
      <alignment horizontal="center" vertical="top"/>
    </xf>
    <xf numFmtId="167" fontId="22" fillId="35" borderId="35" xfId="1" applyNumberFormat="1" applyFont="1" applyFill="1" applyBorder="1" applyAlignment="1">
      <alignment horizontal="center" vertical="top"/>
    </xf>
    <xf numFmtId="167" fontId="28" fillId="4" borderId="36" xfId="1" applyNumberFormat="1" applyFont="1" applyFill="1" applyBorder="1" applyAlignment="1">
      <alignment horizontal="center" vertical="top"/>
    </xf>
    <xf numFmtId="167" fontId="22" fillId="34" borderId="80" xfId="1" applyNumberFormat="1" applyFont="1" applyFill="1" applyBorder="1" applyAlignment="1">
      <alignment horizontal="center" vertical="top"/>
    </xf>
    <xf numFmtId="167" fontId="28" fillId="0" borderId="44" xfId="1" applyNumberFormat="1" applyFont="1" applyFill="1" applyBorder="1" applyAlignment="1">
      <alignment horizontal="center" vertical="top"/>
    </xf>
    <xf numFmtId="167" fontId="22" fillId="35" borderId="44" xfId="1" applyNumberFormat="1" applyFont="1" applyFill="1" applyBorder="1" applyAlignment="1">
      <alignment horizontal="center" vertical="center"/>
    </xf>
    <xf numFmtId="167" fontId="33" fillId="0" borderId="44" xfId="1" applyNumberFormat="1" applyFont="1" applyFill="1" applyBorder="1" applyAlignment="1">
      <alignment horizontal="center" vertical="top"/>
    </xf>
    <xf numFmtId="167" fontId="22" fillId="35" borderId="44" xfId="1" applyNumberFormat="1" applyFont="1" applyFill="1" applyBorder="1" applyAlignment="1">
      <alignment horizontal="center" vertical="top"/>
    </xf>
    <xf numFmtId="167" fontId="28" fillId="4" borderId="97" xfId="1" applyNumberFormat="1" applyFont="1" applyFill="1" applyBorder="1" applyAlignment="1">
      <alignment horizontal="center" vertical="top"/>
    </xf>
    <xf numFmtId="49" fontId="22" fillId="4" borderId="24" xfId="1" applyNumberFormat="1" applyFont="1" applyFill="1" applyBorder="1" applyAlignment="1">
      <alignment horizontal="center" vertical="center"/>
    </xf>
    <xf numFmtId="49" fontId="22" fillId="4" borderId="39" xfId="1" applyNumberFormat="1" applyFont="1" applyFill="1" applyBorder="1" applyAlignment="1">
      <alignment horizontal="center" vertical="center"/>
    </xf>
    <xf numFmtId="0" fontId="3" fillId="0" borderId="0" xfId="0" applyFont="1" applyAlignment="1">
      <alignment horizontal="center" vertical="center"/>
    </xf>
    <xf numFmtId="167" fontId="22" fillId="4" borderId="80" xfId="1" applyNumberFormat="1" applyFont="1" applyFill="1" applyBorder="1" applyAlignment="1">
      <alignment horizontal="center" vertical="top" wrapText="1"/>
    </xf>
    <xf numFmtId="167" fontId="22" fillId="4" borderId="3" xfId="1" applyNumberFormat="1" applyFont="1" applyFill="1" applyBorder="1" applyAlignment="1">
      <alignment horizontal="center" vertical="top"/>
    </xf>
    <xf numFmtId="167" fontId="22" fillId="4" borderId="74" xfId="1" applyNumberFormat="1" applyFont="1" applyFill="1" applyBorder="1" applyAlignment="1">
      <alignment horizontal="center" vertical="top"/>
    </xf>
    <xf numFmtId="1" fontId="37" fillId="4" borderId="28" xfId="1" applyNumberFormat="1" applyFont="1" applyFill="1" applyBorder="1" applyAlignment="1">
      <alignment horizontal="center" vertical="top"/>
    </xf>
    <xf numFmtId="1" fontId="37" fillId="4" borderId="29" xfId="1" applyNumberFormat="1" applyFont="1" applyFill="1" applyBorder="1" applyAlignment="1">
      <alignment horizontal="center" vertical="top"/>
    </xf>
    <xf numFmtId="167" fontId="22" fillId="4" borderId="30" xfId="1" applyNumberFormat="1" applyFont="1" applyFill="1" applyBorder="1" applyAlignment="1">
      <alignment horizontal="center" vertical="center" wrapText="1"/>
    </xf>
    <xf numFmtId="167" fontId="22" fillId="4" borderId="72" xfId="1" applyNumberFormat="1" applyFont="1" applyFill="1" applyBorder="1" applyAlignment="1">
      <alignment horizontal="center" vertical="center" wrapText="1"/>
    </xf>
    <xf numFmtId="167" fontId="22" fillId="4" borderId="39" xfId="1" applyNumberFormat="1" applyFont="1" applyFill="1" applyBorder="1" applyAlignment="1">
      <alignment horizontal="center" vertical="center" wrapText="1"/>
    </xf>
    <xf numFmtId="167" fontId="22" fillId="4" borderId="84" xfId="1" applyNumberFormat="1" applyFont="1" applyFill="1" applyBorder="1" applyAlignment="1">
      <alignment horizontal="center" vertical="center" wrapText="1"/>
    </xf>
    <xf numFmtId="164" fontId="22" fillId="4" borderId="40" xfId="1" applyNumberFormat="1" applyFont="1" applyFill="1" applyBorder="1" applyAlignment="1">
      <alignment horizontal="center" vertical="top" wrapText="1"/>
    </xf>
    <xf numFmtId="164" fontId="22" fillId="4" borderId="45" xfId="1" applyNumberFormat="1" applyFont="1" applyFill="1" applyBorder="1" applyAlignment="1">
      <alignment horizontal="center" vertical="top" wrapText="1"/>
    </xf>
    <xf numFmtId="164" fontId="22" fillId="4" borderId="46" xfId="1" applyNumberFormat="1" applyFont="1" applyFill="1" applyBorder="1" applyAlignment="1">
      <alignment horizontal="center" vertical="top" wrapText="1"/>
    </xf>
    <xf numFmtId="164" fontId="22" fillId="4" borderId="73" xfId="1" applyNumberFormat="1" applyFont="1" applyFill="1" applyBorder="1" applyAlignment="1">
      <alignment horizontal="center" vertical="top" wrapText="1"/>
    </xf>
    <xf numFmtId="164" fontId="22" fillId="4" borderId="50" xfId="1" applyNumberFormat="1" applyFont="1" applyFill="1" applyBorder="1" applyAlignment="1">
      <alignment horizontal="center" vertical="top" wrapText="1"/>
    </xf>
    <xf numFmtId="164" fontId="22" fillId="4" borderId="64" xfId="1" applyNumberFormat="1" applyFont="1" applyFill="1" applyBorder="1" applyAlignment="1">
      <alignment horizontal="center" vertical="top" wrapText="1"/>
    </xf>
    <xf numFmtId="167" fontId="37" fillId="4" borderId="0" xfId="1" applyNumberFormat="1" applyFont="1" applyFill="1" applyBorder="1" applyAlignment="1">
      <alignment horizontal="center" vertical="top" wrapText="1"/>
    </xf>
    <xf numFmtId="167" fontId="44" fillId="0" borderId="0" xfId="0" applyNumberFormat="1" applyFont="1" applyBorder="1" applyAlignment="1">
      <alignment horizontal="center" vertical="top"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167" fontId="22" fillId="4" borderId="80" xfId="1" applyNumberFormat="1" applyFont="1" applyFill="1" applyBorder="1" applyAlignment="1">
      <alignment horizontal="center" vertical="center" wrapText="1"/>
    </xf>
    <xf numFmtId="167" fontId="22" fillId="4" borderId="3" xfId="1" applyNumberFormat="1" applyFont="1" applyFill="1" applyBorder="1" applyAlignment="1">
      <alignment horizontal="center" vertical="center" wrapText="1"/>
    </xf>
    <xf numFmtId="167" fontId="22" fillId="4" borderId="74" xfId="1" applyNumberFormat="1" applyFont="1" applyFill="1" applyBorder="1" applyAlignment="1">
      <alignment horizontal="center" vertical="center" wrapText="1"/>
    </xf>
    <xf numFmtId="1" fontId="37" fillId="4" borderId="31" xfId="1" applyNumberFormat="1" applyFont="1" applyFill="1" applyBorder="1" applyAlignment="1">
      <alignment horizontal="center" vertical="top"/>
    </xf>
    <xf numFmtId="0" fontId="37" fillId="0" borderId="0" xfId="0" applyFont="1" applyAlignment="1">
      <alignment horizontal="left" vertical="top" wrapText="1"/>
    </xf>
    <xf numFmtId="164" fontId="22" fillId="4" borderId="25" xfId="1" applyNumberFormat="1" applyFont="1" applyFill="1" applyBorder="1" applyAlignment="1">
      <alignment horizontal="center" vertical="top" wrapText="1"/>
    </xf>
    <xf numFmtId="164" fontId="22" fillId="4" borderId="48" xfId="1" applyNumberFormat="1" applyFont="1" applyFill="1" applyBorder="1" applyAlignment="1">
      <alignment horizontal="center" vertical="top" wrapText="1"/>
    </xf>
    <xf numFmtId="164" fontId="22" fillId="4" borderId="41" xfId="1" applyNumberFormat="1" applyFont="1" applyFill="1" applyBorder="1" applyAlignment="1">
      <alignment horizontal="center" vertical="top" wrapText="1"/>
    </xf>
    <xf numFmtId="164" fontId="22" fillId="4" borderId="96" xfId="1" applyNumberFormat="1" applyFont="1" applyFill="1" applyBorder="1" applyAlignment="1">
      <alignment horizontal="center" vertical="top" wrapText="1"/>
    </xf>
    <xf numFmtId="164" fontId="22" fillId="4" borderId="31" xfId="1" applyNumberFormat="1" applyFont="1" applyFill="1" applyBorder="1" applyAlignment="1">
      <alignment horizontal="center" vertical="top" wrapText="1"/>
    </xf>
    <xf numFmtId="164" fontId="22" fillId="4" borderId="29" xfId="1" applyNumberFormat="1" applyFont="1" applyFill="1" applyBorder="1" applyAlignment="1">
      <alignment horizontal="center" vertical="top" wrapText="1"/>
    </xf>
    <xf numFmtId="164" fontId="22" fillId="4" borderId="67" xfId="1" applyNumberFormat="1" applyFont="1" applyFill="1" applyBorder="1" applyAlignment="1">
      <alignment horizontal="center" vertical="top" wrapText="1"/>
    </xf>
    <xf numFmtId="164" fontId="22" fillId="4" borderId="69" xfId="1" applyNumberFormat="1" applyFont="1" applyFill="1" applyBorder="1" applyAlignment="1">
      <alignment horizontal="center" vertical="top" wrapText="1"/>
    </xf>
    <xf numFmtId="167" fontId="22" fillId="4" borderId="31" xfId="1" applyNumberFormat="1" applyFont="1" applyFill="1" applyBorder="1" applyAlignment="1">
      <alignment horizontal="center" vertical="center" wrapText="1"/>
    </xf>
    <xf numFmtId="167" fontId="22" fillId="4" borderId="83" xfId="1" applyNumberFormat="1" applyFont="1" applyFill="1" applyBorder="1" applyAlignment="1">
      <alignment horizontal="center" vertical="center" wrapText="1"/>
    </xf>
    <xf numFmtId="167" fontId="22" fillId="4" borderId="80" xfId="1" applyNumberFormat="1" applyFont="1" applyFill="1" applyBorder="1" applyAlignment="1">
      <alignment horizontal="center" vertical="top"/>
    </xf>
    <xf numFmtId="164" fontId="22" fillId="4" borderId="47" xfId="1" applyNumberFormat="1" applyFont="1" applyFill="1" applyBorder="1" applyAlignment="1">
      <alignment horizontal="center" vertical="top" wrapText="1"/>
    </xf>
    <xf numFmtId="164" fontId="22" fillId="4" borderId="0" xfId="1" applyNumberFormat="1" applyFont="1" applyFill="1" applyBorder="1" applyAlignment="1">
      <alignment horizontal="center" vertical="top" wrapText="1"/>
    </xf>
    <xf numFmtId="0" fontId="12" fillId="38" borderId="11" xfId="0" applyNumberFormat="1" applyFont="1" applyFill="1" applyBorder="1" applyAlignment="1">
      <alignment horizontal="center" vertical="center" textRotation="90" wrapText="1"/>
    </xf>
    <xf numFmtId="0" fontId="12" fillId="38" borderId="12" xfId="0" applyNumberFormat="1" applyFont="1" applyFill="1" applyBorder="1" applyAlignment="1">
      <alignment horizontal="center" vertical="center" textRotation="90" wrapText="1"/>
    </xf>
    <xf numFmtId="0" fontId="12" fillId="38" borderId="19" xfId="0" applyNumberFormat="1" applyFont="1" applyFill="1" applyBorder="1" applyAlignment="1">
      <alignment horizontal="center" vertical="center" textRotation="90" wrapText="1"/>
    </xf>
    <xf numFmtId="0" fontId="12" fillId="38" borderId="18" xfId="0" applyNumberFormat="1" applyFont="1" applyFill="1" applyBorder="1" applyAlignment="1">
      <alignment horizontal="center" vertical="center" textRotation="90" wrapText="1"/>
    </xf>
    <xf numFmtId="0" fontId="12" fillId="36" borderId="19" xfId="0" applyNumberFormat="1" applyFont="1" applyFill="1" applyBorder="1" applyAlignment="1">
      <alignment horizontal="center" vertical="center" textRotation="90" wrapText="1"/>
    </xf>
    <xf numFmtId="0" fontId="12" fillId="36" borderId="18" xfId="0" applyNumberFormat="1" applyFont="1" applyFill="1" applyBorder="1" applyAlignment="1">
      <alignment horizontal="center" vertical="center" textRotation="90" wrapText="1"/>
    </xf>
    <xf numFmtId="0" fontId="22" fillId="38" borderId="1" xfId="0" applyFont="1" applyFill="1" applyBorder="1" applyAlignment="1">
      <alignment horizontal="center" vertical="center" wrapText="1"/>
    </xf>
    <xf numFmtId="0" fontId="22" fillId="38" borderId="16" xfId="0" applyFont="1" applyFill="1" applyBorder="1" applyAlignment="1">
      <alignment horizontal="center" vertical="center" wrapText="1"/>
    </xf>
    <xf numFmtId="0" fontId="22" fillId="38" borderId="17" xfId="0" applyFont="1" applyFill="1" applyBorder="1" applyAlignment="1">
      <alignment horizontal="center" vertical="center" wrapText="1"/>
    </xf>
    <xf numFmtId="0" fontId="25" fillId="38" borderId="4" xfId="0" applyFont="1" applyFill="1" applyBorder="1" applyAlignment="1">
      <alignment horizontal="center" vertical="center" textRotation="90" wrapText="1"/>
    </xf>
    <xf numFmtId="0" fontId="25" fillId="38" borderId="28" xfId="0" applyFont="1" applyFill="1" applyBorder="1" applyAlignment="1">
      <alignment horizontal="center" vertical="center" textRotation="90" wrapText="1"/>
    </xf>
    <xf numFmtId="0" fontId="12" fillId="38" borderId="9" xfId="0" applyFont="1" applyFill="1" applyBorder="1" applyAlignment="1">
      <alignment horizontal="center" vertical="center" textRotation="90" wrapText="1"/>
    </xf>
    <xf numFmtId="0" fontId="12" fillId="38" borderId="11" xfId="0" applyFont="1" applyFill="1" applyBorder="1" applyAlignment="1">
      <alignment horizontal="center" vertical="center" textRotation="90" wrapText="1"/>
    </xf>
    <xf numFmtId="0" fontId="12" fillId="38" borderId="9" xfId="0" applyNumberFormat="1" applyFont="1" applyFill="1" applyBorder="1" applyAlignment="1">
      <alignment horizontal="center" vertical="center" textRotation="90" wrapText="1"/>
    </xf>
    <xf numFmtId="0" fontId="12" fillId="36" borderId="9" xfId="0" applyNumberFormat="1" applyFont="1" applyFill="1" applyBorder="1" applyAlignment="1">
      <alignment horizontal="center" vertical="center" textRotation="90" wrapText="1"/>
    </xf>
    <xf numFmtId="0" fontId="12" fillId="36" borderId="11" xfId="0" applyNumberFormat="1" applyFont="1" applyFill="1" applyBorder="1" applyAlignment="1">
      <alignment horizontal="center" vertical="center" textRotation="90" wrapText="1"/>
    </xf>
    <xf numFmtId="0" fontId="12" fillId="36" borderId="12" xfId="0" applyNumberFormat="1" applyFont="1" applyFill="1" applyBorder="1" applyAlignment="1">
      <alignment horizontal="center" vertical="center" textRotation="90" wrapText="1"/>
    </xf>
    <xf numFmtId="0" fontId="12" fillId="37" borderId="11" xfId="0" applyNumberFormat="1" applyFont="1" applyFill="1" applyBorder="1" applyAlignment="1">
      <alignment horizontal="center" vertical="center" textRotation="90" wrapText="1"/>
    </xf>
    <xf numFmtId="0" fontId="12" fillId="37" borderId="12" xfId="0" applyNumberFormat="1" applyFont="1" applyFill="1" applyBorder="1" applyAlignment="1">
      <alignment horizontal="center" vertical="center" textRotation="90" wrapText="1"/>
    </xf>
    <xf numFmtId="0" fontId="12" fillId="37" borderId="19" xfId="0" applyNumberFormat="1" applyFont="1" applyFill="1" applyBorder="1" applyAlignment="1">
      <alignment horizontal="center" vertical="center" textRotation="90" wrapText="1"/>
    </xf>
    <xf numFmtId="0" fontId="12" fillId="37" borderId="18" xfId="0" applyNumberFormat="1" applyFont="1" applyFill="1" applyBorder="1" applyAlignment="1">
      <alignment horizontal="center" vertical="center" textRotation="90" wrapText="1"/>
    </xf>
    <xf numFmtId="0" fontId="22" fillId="36" borderId="1" xfId="0" applyFont="1" applyFill="1" applyBorder="1" applyAlignment="1">
      <alignment horizontal="center" vertical="center" wrapText="1"/>
    </xf>
    <xf numFmtId="0" fontId="22" fillId="36" borderId="16" xfId="0" applyFont="1" applyFill="1" applyBorder="1" applyAlignment="1">
      <alignment horizontal="center" vertical="center" wrapText="1"/>
    </xf>
    <xf numFmtId="0" fontId="22" fillId="36" borderId="17" xfId="0" applyFont="1" applyFill="1" applyBorder="1" applyAlignment="1">
      <alignment horizontal="center" vertical="center" wrapText="1"/>
    </xf>
    <xf numFmtId="0" fontId="25" fillId="36" borderId="4" xfId="0" applyFont="1" applyFill="1" applyBorder="1" applyAlignment="1">
      <alignment horizontal="center" vertical="center" textRotation="90" wrapText="1"/>
    </xf>
    <xf numFmtId="0" fontId="25" fillId="36" borderId="28" xfId="0" applyFont="1" applyFill="1" applyBorder="1" applyAlignment="1">
      <alignment horizontal="center" vertical="center" textRotation="90" wrapText="1"/>
    </xf>
    <xf numFmtId="0" fontId="12" fillId="36" borderId="9" xfId="0" applyFont="1" applyFill="1" applyBorder="1" applyAlignment="1">
      <alignment horizontal="center" vertical="center" textRotation="90" wrapText="1"/>
    </xf>
    <xf numFmtId="0" fontId="12" fillId="36" borderId="11" xfId="0" applyFont="1" applyFill="1" applyBorder="1" applyAlignment="1">
      <alignment horizontal="center" vertical="center" textRotation="90" wrapText="1"/>
    </xf>
    <xf numFmtId="0" fontId="12" fillId="10" borderId="9" xfId="0" applyNumberFormat="1" applyFont="1" applyFill="1" applyBorder="1" applyAlignment="1">
      <alignment horizontal="center" vertical="center" textRotation="90" wrapText="1"/>
    </xf>
    <xf numFmtId="0" fontId="12" fillId="10" borderId="11" xfId="0" applyNumberFormat="1" applyFont="1" applyFill="1" applyBorder="1" applyAlignment="1">
      <alignment horizontal="center" vertical="center" textRotation="90" wrapText="1"/>
    </xf>
    <xf numFmtId="0" fontId="12" fillId="10" borderId="19" xfId="0" applyNumberFormat="1" applyFont="1" applyFill="1" applyBorder="1" applyAlignment="1">
      <alignment horizontal="center" vertical="center" textRotation="90" wrapText="1"/>
    </xf>
    <xf numFmtId="0" fontId="12" fillId="10" borderId="18" xfId="0" applyNumberFormat="1" applyFont="1" applyFill="1" applyBorder="1" applyAlignment="1">
      <alignment horizontal="center" vertical="center" textRotation="90" wrapText="1"/>
    </xf>
    <xf numFmtId="0" fontId="12" fillId="10" borderId="12" xfId="0" applyNumberFormat="1" applyFont="1" applyFill="1" applyBorder="1" applyAlignment="1">
      <alignment horizontal="center" vertical="center" textRotation="90" wrapText="1"/>
    </xf>
    <xf numFmtId="0" fontId="12" fillId="10" borderId="9" xfId="0" applyFont="1" applyFill="1" applyBorder="1" applyAlignment="1">
      <alignment horizontal="center" vertical="center" textRotation="90" wrapText="1"/>
    </xf>
    <xf numFmtId="0" fontId="12" fillId="10" borderId="11" xfId="0" applyFont="1" applyFill="1" applyBorder="1" applyAlignment="1">
      <alignment horizontal="center" vertical="center" textRotation="90" wrapText="1"/>
    </xf>
    <xf numFmtId="0" fontId="12" fillId="9" borderId="9" xfId="0" applyFont="1" applyFill="1" applyBorder="1" applyAlignment="1">
      <alignment horizontal="center" vertical="center" textRotation="90" wrapText="1"/>
    </xf>
    <xf numFmtId="0" fontId="12" fillId="9" borderId="11" xfId="0" applyFont="1" applyFill="1" applyBorder="1" applyAlignment="1">
      <alignment horizontal="center" vertical="center" textRotation="90" wrapText="1"/>
    </xf>
    <xf numFmtId="0" fontId="12" fillId="9" borderId="9" xfId="0" applyNumberFormat="1" applyFont="1" applyFill="1" applyBorder="1" applyAlignment="1">
      <alignment horizontal="center" vertical="center" textRotation="90" wrapText="1"/>
    </xf>
    <xf numFmtId="0" fontId="12" fillId="9" borderId="11" xfId="0" applyNumberFormat="1" applyFont="1" applyFill="1" applyBorder="1" applyAlignment="1">
      <alignment horizontal="center" vertical="center" textRotation="90" wrapText="1"/>
    </xf>
    <xf numFmtId="0" fontId="28" fillId="0" borderId="40"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16" xfId="0" applyFont="1" applyFill="1" applyBorder="1" applyAlignment="1">
      <alignment horizontal="center" vertical="center" wrapText="1"/>
    </xf>
    <xf numFmtId="0" fontId="22" fillId="10" borderId="17" xfId="0" applyFont="1" applyFill="1" applyBorder="1" applyAlignment="1">
      <alignment horizontal="center" vertical="center" wrapText="1"/>
    </xf>
    <xf numFmtId="0" fontId="11" fillId="10" borderId="4" xfId="0" applyFont="1" applyFill="1" applyBorder="1" applyAlignment="1">
      <alignment horizontal="center" vertical="center" textRotation="90" wrapText="1"/>
    </xf>
    <xf numFmtId="0" fontId="11" fillId="10" borderId="28" xfId="0" applyFont="1" applyFill="1" applyBorder="1" applyAlignment="1">
      <alignment horizontal="center" vertical="center" textRotation="90" wrapText="1"/>
    </xf>
    <xf numFmtId="165" fontId="11" fillId="9" borderId="10" xfId="0" applyNumberFormat="1" applyFont="1" applyFill="1" applyBorder="1" applyAlignment="1">
      <alignment horizontal="center" vertical="center" textRotation="90" wrapText="1"/>
    </xf>
    <xf numFmtId="165" fontId="11" fillId="9" borderId="15" xfId="0" applyNumberFormat="1" applyFont="1" applyFill="1" applyBorder="1" applyAlignment="1">
      <alignment horizontal="center" vertical="center" textRotation="90" wrapText="1"/>
    </xf>
    <xf numFmtId="0" fontId="12" fillId="9" borderId="5" xfId="0" applyNumberFormat="1" applyFont="1" applyFill="1" applyBorder="1" applyAlignment="1">
      <alignment horizontal="center" vertical="center" textRotation="90" wrapText="1"/>
    </xf>
    <xf numFmtId="0" fontId="12" fillId="9" borderId="14" xfId="0" applyNumberFormat="1" applyFont="1" applyFill="1" applyBorder="1" applyAlignment="1">
      <alignment horizontal="center" vertical="center" textRotation="90" wrapText="1"/>
    </xf>
    <xf numFmtId="0" fontId="12" fillId="37" borderId="9" xfId="0" applyNumberFormat="1" applyFont="1" applyFill="1" applyBorder="1" applyAlignment="1">
      <alignment horizontal="center" vertical="center" textRotation="90" wrapText="1"/>
    </xf>
    <xf numFmtId="0" fontId="22" fillId="37" borderId="1"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22" fillId="37" borderId="17" xfId="0" applyFont="1" applyFill="1" applyBorder="1" applyAlignment="1">
      <alignment horizontal="center" vertical="center" wrapText="1"/>
    </xf>
    <xf numFmtId="0" fontId="11" fillId="37" borderId="4" xfId="0" applyFont="1" applyFill="1" applyBorder="1" applyAlignment="1">
      <alignment horizontal="center" vertical="center" textRotation="90" wrapText="1"/>
    </xf>
    <xf numFmtId="0" fontId="11" fillId="37" borderId="28" xfId="0" applyFont="1" applyFill="1" applyBorder="1" applyAlignment="1">
      <alignment horizontal="center" vertical="center" textRotation="90" wrapText="1"/>
    </xf>
    <xf numFmtId="0" fontId="12" fillId="37" borderId="9" xfId="0" applyFont="1" applyFill="1" applyBorder="1" applyAlignment="1">
      <alignment horizontal="center" vertical="center" textRotation="90" wrapText="1"/>
    </xf>
    <xf numFmtId="0" fontId="12" fillId="37" borderId="11" xfId="0" applyFont="1" applyFill="1" applyBorder="1" applyAlignment="1">
      <alignment horizontal="center" vertical="center" textRotation="90" wrapText="1"/>
    </xf>
    <xf numFmtId="0" fontId="7" fillId="0" borderId="0" xfId="0" applyFont="1" applyAlignment="1">
      <alignment horizontal="left"/>
    </xf>
    <xf numFmtId="1" fontId="37" fillId="4" borderId="30" xfId="1" applyNumberFormat="1" applyFont="1" applyFill="1" applyBorder="1" applyAlignment="1">
      <alignment horizontal="center" vertical="top"/>
    </xf>
    <xf numFmtId="1" fontId="37" fillId="4" borderId="72" xfId="1" applyNumberFormat="1" applyFont="1" applyFill="1" applyBorder="1" applyAlignment="1">
      <alignment horizontal="center" vertical="top"/>
    </xf>
    <xf numFmtId="165" fontId="28" fillId="3" borderId="24" xfId="0" applyNumberFormat="1" applyFont="1" applyFill="1" applyBorder="1" applyAlignment="1">
      <alignment horizontal="center" vertical="center" wrapText="1"/>
    </xf>
    <xf numFmtId="165" fontId="28" fillId="3" borderId="13" xfId="0" applyNumberFormat="1" applyFont="1" applyFill="1" applyBorder="1" applyAlignment="1">
      <alignment horizontal="center" vertical="center" wrapText="1"/>
    </xf>
    <xf numFmtId="165" fontId="37" fillId="3" borderId="39" xfId="0" applyNumberFormat="1" applyFont="1" applyFill="1" applyBorder="1" applyAlignment="1">
      <alignment horizontal="center" vertical="center" wrapText="1"/>
    </xf>
    <xf numFmtId="165" fontId="37" fillId="3" borderId="71" xfId="0" applyNumberFormat="1" applyFont="1" applyFill="1" applyBorder="1" applyAlignment="1">
      <alignment horizontal="center" vertical="center" wrapText="1"/>
    </xf>
    <xf numFmtId="0" fontId="33" fillId="3" borderId="6" xfId="3" applyFont="1" applyFill="1" applyBorder="1" applyAlignment="1">
      <alignment horizontal="center" vertical="center" wrapText="1"/>
    </xf>
    <xf numFmtId="0" fontId="33" fillId="3" borderId="10" xfId="3" applyFont="1" applyFill="1" applyBorder="1" applyAlignment="1">
      <alignment horizontal="center" vertical="center" wrapText="1"/>
    </xf>
    <xf numFmtId="0" fontId="37" fillId="2" borderId="24" xfId="0" applyNumberFormat="1" applyFont="1" applyFill="1" applyBorder="1" applyAlignment="1">
      <alignment horizontal="center" vertical="center" wrapText="1"/>
    </xf>
    <xf numFmtId="0" fontId="37" fillId="2" borderId="13" xfId="0" applyNumberFormat="1" applyFont="1" applyFill="1" applyBorder="1" applyAlignment="1">
      <alignment horizontal="center" vertical="center" wrapText="1"/>
    </xf>
    <xf numFmtId="165" fontId="37" fillId="3" borderId="24" xfId="0" applyNumberFormat="1" applyFont="1" applyFill="1" applyBorder="1" applyAlignment="1">
      <alignment horizontal="center" vertical="center" wrapText="1"/>
    </xf>
    <xf numFmtId="165" fontId="37" fillId="3" borderId="13"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67" xfId="0" applyFont="1" applyFill="1" applyBorder="1" applyAlignment="1">
      <alignment horizontal="center" vertical="center" wrapText="1"/>
    </xf>
    <xf numFmtId="0" fontId="37" fillId="2" borderId="69" xfId="0" applyFont="1" applyFill="1" applyBorder="1" applyAlignment="1">
      <alignment horizontal="center" vertical="center" wrapText="1"/>
    </xf>
    <xf numFmtId="0" fontId="28" fillId="2" borderId="80" xfId="2" applyFont="1" applyFill="1" applyBorder="1" applyAlignment="1">
      <alignment horizontal="center" vertical="center" wrapText="1"/>
    </xf>
    <xf numFmtId="0" fontId="28" fillId="2" borderId="3" xfId="2" applyFont="1" applyFill="1" applyBorder="1" applyAlignment="1">
      <alignment horizontal="center" vertical="center" wrapText="1"/>
    </xf>
    <xf numFmtId="0" fontId="28" fillId="2" borderId="26" xfId="2"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9" xfId="0" applyFont="1" applyFill="1" applyBorder="1" applyAlignment="1">
      <alignment horizontal="center" vertical="center" wrapText="1"/>
    </xf>
    <xf numFmtId="0" fontId="3" fillId="0" borderId="0" xfId="0" applyFont="1" applyAlignment="1">
      <alignment horizontal="left" vertical="center" wrapText="1"/>
    </xf>
    <xf numFmtId="0" fontId="37" fillId="6" borderId="17" xfId="0" applyFont="1" applyFill="1" applyBorder="1" applyAlignment="1">
      <alignment horizontal="center" vertical="center" wrapText="1"/>
    </xf>
    <xf numFmtId="0" fontId="7" fillId="0" borderId="0" xfId="0" applyFont="1" applyAlignment="1">
      <alignment horizontal="left" vertical="center" wrapText="1"/>
    </xf>
    <xf numFmtId="165" fontId="25" fillId="7" borderId="80" xfId="0" applyNumberFormat="1" applyFont="1" applyFill="1" applyBorder="1" applyAlignment="1">
      <alignment horizontal="center" vertical="center" wrapText="1"/>
    </xf>
    <xf numFmtId="165" fontId="25" fillId="7" borderId="3" xfId="0" applyNumberFormat="1" applyFont="1" applyFill="1" applyBorder="1" applyAlignment="1">
      <alignment horizontal="center" vertical="center" wrapText="1"/>
    </xf>
    <xf numFmtId="165" fontId="25" fillId="7" borderId="74" xfId="0" applyNumberFormat="1" applyFont="1" applyFill="1" applyBorder="1" applyAlignment="1">
      <alignment horizontal="center" vertical="center" wrapText="1"/>
    </xf>
    <xf numFmtId="0" fontId="22" fillId="40" borderId="37" xfId="0" applyFont="1" applyFill="1" applyBorder="1" applyAlignment="1">
      <alignment horizontal="center" vertical="center" wrapText="1"/>
    </xf>
    <xf numFmtId="0" fontId="22" fillId="40" borderId="33" xfId="0" applyFont="1" applyFill="1" applyBorder="1" applyAlignment="1">
      <alignment horizontal="center" vertical="center" wrapText="1"/>
    </xf>
    <xf numFmtId="0" fontId="22" fillId="40" borderId="3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22" fillId="39" borderId="65" xfId="0" applyFont="1" applyFill="1" applyBorder="1" applyAlignment="1">
      <alignment horizontal="center" vertical="center" wrapText="1"/>
    </xf>
    <xf numFmtId="0" fontId="22" fillId="39" borderId="66" xfId="0" applyFont="1" applyFill="1" applyBorder="1" applyAlignment="1">
      <alignment horizontal="center" vertical="center" wrapText="1"/>
    </xf>
    <xf numFmtId="0" fontId="22" fillId="36" borderId="37" xfId="0" applyFont="1" applyFill="1" applyBorder="1" applyAlignment="1">
      <alignment horizontal="center" vertical="center" wrapText="1"/>
    </xf>
    <xf numFmtId="0" fontId="22" fillId="36" borderId="33" xfId="0" applyFont="1" applyFill="1" applyBorder="1" applyAlignment="1">
      <alignment horizontal="center" vertical="center" wrapText="1"/>
    </xf>
    <xf numFmtId="0" fontId="22" fillId="36" borderId="38" xfId="0" applyFont="1" applyFill="1" applyBorder="1" applyAlignment="1">
      <alignment horizontal="center" vertical="center" wrapText="1"/>
    </xf>
    <xf numFmtId="0" fontId="22" fillId="8" borderId="37" xfId="0" applyFont="1" applyFill="1" applyBorder="1" applyAlignment="1">
      <alignment horizontal="center" vertical="center" wrapText="1"/>
    </xf>
    <xf numFmtId="0" fontId="22" fillId="8" borderId="33" xfId="0" applyFont="1" applyFill="1" applyBorder="1" applyAlignment="1">
      <alignment horizontal="center" vertical="center" wrapText="1"/>
    </xf>
    <xf numFmtId="0" fontId="22" fillId="8" borderId="38" xfId="0" applyFont="1" applyFill="1" applyBorder="1" applyAlignment="1">
      <alignment horizontal="center" vertical="center" wrapText="1"/>
    </xf>
    <xf numFmtId="0" fontId="28" fillId="3" borderId="1" xfId="2" applyFont="1" applyFill="1" applyBorder="1" applyAlignment="1">
      <alignment horizontal="center" vertical="center" wrapText="1"/>
    </xf>
    <xf numFmtId="0" fontId="28" fillId="3" borderId="16" xfId="2" applyFont="1" applyFill="1" applyBorder="1" applyAlignment="1">
      <alignment horizontal="center" vertical="center" wrapText="1"/>
    </xf>
    <xf numFmtId="0" fontId="28" fillId="3" borderId="17" xfId="2" applyFont="1" applyFill="1" applyBorder="1" applyAlignment="1">
      <alignment horizontal="center" vertical="center" wrapText="1"/>
    </xf>
    <xf numFmtId="0" fontId="28" fillId="3" borderId="28" xfId="2" applyFont="1" applyFill="1" applyBorder="1" applyAlignment="1">
      <alignment horizontal="center" vertical="center" wrapText="1"/>
    </xf>
    <xf numFmtId="0" fontId="28" fillId="3" borderId="11" xfId="2" applyFont="1" applyFill="1" applyBorder="1" applyAlignment="1">
      <alignment horizontal="center" vertical="center" wrapText="1"/>
    </xf>
    <xf numFmtId="0" fontId="28" fillId="3" borderId="18" xfId="2"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2" borderId="1" xfId="2" applyFont="1" applyFill="1" applyBorder="1" applyAlignment="1">
      <alignment horizontal="center" vertical="center" wrapText="1"/>
    </xf>
    <xf numFmtId="0" fontId="28" fillId="2" borderId="16" xfId="2" applyFont="1" applyFill="1" applyBorder="1" applyAlignment="1">
      <alignment horizontal="center" vertical="center" wrapText="1"/>
    </xf>
    <xf numFmtId="0" fontId="28" fillId="2" borderId="17" xfId="2" applyFont="1" applyFill="1" applyBorder="1" applyAlignment="1">
      <alignment horizontal="center" vertical="center" wrapText="1"/>
    </xf>
    <xf numFmtId="0" fontId="28" fillId="2" borderId="28" xfId="2" applyFont="1" applyFill="1" applyBorder="1" applyAlignment="1">
      <alignment horizontal="center" vertical="center" wrapText="1"/>
    </xf>
    <xf numFmtId="0" fontId="28" fillId="2" borderId="11" xfId="2" applyFont="1" applyFill="1" applyBorder="1" applyAlignment="1">
      <alignment horizontal="center" vertical="center" wrapText="1"/>
    </xf>
    <xf numFmtId="0" fontId="28" fillId="2" borderId="18" xfId="2" applyFont="1" applyFill="1" applyBorder="1" applyAlignment="1">
      <alignment horizontal="center" vertical="center" wrapText="1"/>
    </xf>
    <xf numFmtId="0" fontId="28" fillId="3" borderId="26"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37" xfId="0" applyFont="1" applyFill="1" applyBorder="1" applyAlignment="1">
      <alignment vertical="center" wrapText="1"/>
    </xf>
    <xf numFmtId="0" fontId="28" fillId="2" borderId="33" xfId="0" applyFont="1" applyFill="1" applyBorder="1" applyAlignment="1">
      <alignment vertical="center" wrapText="1"/>
    </xf>
    <xf numFmtId="0" fontId="28" fillId="2" borderId="77" xfId="0" applyFont="1" applyFill="1" applyBorder="1" applyAlignment="1">
      <alignment vertical="center" wrapText="1"/>
    </xf>
    <xf numFmtId="0" fontId="28" fillId="2" borderId="39" xfId="0" applyFont="1" applyFill="1" applyBorder="1" applyAlignment="1">
      <alignment horizontal="center" vertical="center" wrapText="1"/>
    </xf>
    <xf numFmtId="0" fontId="28" fillId="2" borderId="83" xfId="0" applyFont="1" applyFill="1" applyBorder="1" applyAlignment="1">
      <alignment horizontal="center" vertical="center" wrapText="1"/>
    </xf>
    <xf numFmtId="0" fontId="28" fillId="2" borderId="84" xfId="0" applyFont="1" applyFill="1" applyBorder="1" applyAlignment="1">
      <alignment horizontal="center" vertical="center" wrapText="1"/>
    </xf>
    <xf numFmtId="0" fontId="7" fillId="0" borderId="0" xfId="0" applyFont="1" applyAlignment="1">
      <alignment horizontal="left" vertical="top"/>
    </xf>
    <xf numFmtId="0" fontId="21" fillId="0" borderId="67"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63"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64" xfId="0" applyFont="1" applyBorder="1" applyAlignment="1">
      <alignment horizontal="center" vertical="center" wrapText="1"/>
    </xf>
    <xf numFmtId="0" fontId="13" fillId="2" borderId="19" xfId="0" applyFont="1" applyFill="1" applyBorder="1" applyAlignment="1">
      <alignment horizontal="center" vertical="center" textRotation="90" wrapText="1"/>
    </xf>
    <xf numFmtId="0" fontId="13" fillId="2" borderId="18" xfId="0" applyFont="1" applyFill="1" applyBorder="1" applyAlignment="1">
      <alignment horizontal="center" vertical="center" textRotation="90" wrapText="1"/>
    </xf>
    <xf numFmtId="0" fontId="25" fillId="41" borderId="12" xfId="0" applyFont="1" applyFill="1" applyBorder="1" applyAlignment="1">
      <alignment vertical="center" wrapText="1"/>
    </xf>
    <xf numFmtId="0" fontId="25" fillId="41" borderId="25" xfId="0" applyFont="1" applyFill="1" applyBorder="1" applyAlignment="1">
      <alignment vertical="center" wrapText="1"/>
    </xf>
    <xf numFmtId="0" fontId="13" fillId="2" borderId="4" xfId="0" applyFont="1" applyFill="1" applyBorder="1" applyAlignment="1">
      <alignment horizontal="center" vertical="center" textRotation="90" wrapText="1"/>
    </xf>
    <xf numFmtId="0" fontId="13" fillId="2" borderId="28"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9" xfId="0" applyFont="1" applyFill="1" applyBorder="1" applyAlignment="1">
      <alignment horizontal="center" vertical="center" textRotation="90" wrapText="1"/>
    </xf>
    <xf numFmtId="0" fontId="13" fillId="2" borderId="11" xfId="0" applyFont="1" applyFill="1" applyBorder="1" applyAlignment="1">
      <alignment horizontal="center" vertical="center" textRotation="90" wrapText="1"/>
    </xf>
    <xf numFmtId="0" fontId="13" fillId="2" borderId="1" xfId="0" applyFont="1" applyFill="1" applyBorder="1" applyAlignment="1">
      <alignment horizontal="center" vertical="center" textRotation="90" wrapText="1"/>
    </xf>
    <xf numFmtId="0" fontId="13" fillId="2" borderId="17" xfId="0" applyFont="1" applyFill="1" applyBorder="1" applyAlignment="1">
      <alignment vertical="center" textRotation="90" wrapText="1"/>
    </xf>
    <xf numFmtId="0" fontId="13" fillId="2" borderId="19" xfId="0" applyFont="1" applyFill="1" applyBorder="1" applyAlignment="1">
      <alignment vertical="center" textRotation="90" wrapText="1"/>
    </xf>
    <xf numFmtId="0" fontId="13" fillId="2" borderId="4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9" fillId="0" borderId="0" xfId="2" applyAlignment="1" applyProtection="1">
      <alignment horizontal="left" vertical="center"/>
    </xf>
    <xf numFmtId="0" fontId="22" fillId="0" borderId="0" xfId="0" applyFont="1" applyAlignment="1">
      <alignment horizontal="left" vertical="center" wrapText="1"/>
    </xf>
    <xf numFmtId="0" fontId="21" fillId="2" borderId="9"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0" xfId="0" applyFont="1" applyBorder="1" applyAlignment="1">
      <alignment horizontal="center" vertical="center" wrapText="1"/>
    </xf>
    <xf numFmtId="0" fontId="21" fillId="2" borderId="11" xfId="0" applyFont="1" applyFill="1" applyBorder="1" applyAlignment="1">
      <alignment horizontal="center" vertical="center" wrapText="1"/>
    </xf>
    <xf numFmtId="0" fontId="28" fillId="0" borderId="67"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6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72" xfId="0" applyFont="1" applyBorder="1" applyAlignment="1">
      <alignment vertical="center" wrapText="1"/>
    </xf>
    <xf numFmtId="0" fontId="12" fillId="0" borderId="85" xfId="0" applyFont="1" applyBorder="1" applyAlignment="1">
      <alignment vertical="center" wrapText="1"/>
    </xf>
    <xf numFmtId="0" fontId="12" fillId="0" borderId="82" xfId="0" applyFont="1" applyBorder="1" applyAlignment="1">
      <alignment vertical="center" wrapText="1"/>
    </xf>
    <xf numFmtId="0" fontId="28" fillId="40" borderId="28" xfId="0" applyFont="1" applyFill="1" applyBorder="1" applyAlignment="1">
      <alignment vertical="center" wrapText="1"/>
    </xf>
    <xf numFmtId="0" fontId="28" fillId="40" borderId="11" xfId="0" applyFont="1" applyFill="1" applyBorder="1" applyAlignment="1">
      <alignment vertical="center" wrapText="1"/>
    </xf>
    <xf numFmtId="0" fontId="28" fillId="40" borderId="14"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49" fillId="0" borderId="0" xfId="0" applyFont="1" applyBorder="1" applyAlignment="1">
      <alignment vertical="center" wrapText="1"/>
    </xf>
    <xf numFmtId="164" fontId="13" fillId="2" borderId="13" xfId="0" applyNumberFormat="1" applyFont="1" applyFill="1" applyBorder="1" applyAlignment="1">
      <alignment horizontal="center" vertical="center" textRotation="90" wrapText="1"/>
    </xf>
    <xf numFmtId="164" fontId="13" fillId="2" borderId="9" xfId="0" applyNumberFormat="1" applyFont="1" applyFill="1" applyBorder="1" applyAlignment="1">
      <alignment horizontal="center" vertical="center" textRotation="90" wrapText="1"/>
    </xf>
    <xf numFmtId="164" fontId="13" fillId="2" borderId="71" xfId="0" applyNumberFormat="1" applyFont="1" applyFill="1" applyBorder="1" applyAlignment="1">
      <alignment horizontal="center" vertical="center" textRotation="90" wrapText="1"/>
    </xf>
    <xf numFmtId="164" fontId="13" fillId="2" borderId="19" xfId="0" applyNumberFormat="1" applyFont="1" applyFill="1" applyBorder="1" applyAlignment="1">
      <alignment horizontal="center" vertical="center" textRotation="90" wrapText="1"/>
    </xf>
    <xf numFmtId="0" fontId="13" fillId="2" borderId="71" xfId="0" applyFont="1" applyFill="1" applyBorder="1" applyAlignment="1">
      <alignment horizontal="center" vertical="center" textRotation="90" wrapText="1"/>
    </xf>
    <xf numFmtId="0" fontId="13" fillId="2" borderId="29" xfId="0" applyFont="1" applyFill="1" applyBorder="1" applyAlignment="1">
      <alignment horizontal="center" vertical="center" textRotation="90" wrapText="1"/>
    </xf>
    <xf numFmtId="0" fontId="13" fillId="2" borderId="13" xfId="0" applyFont="1" applyFill="1" applyBorder="1" applyAlignment="1">
      <alignment horizontal="center" vertical="center" textRotation="90" wrapText="1"/>
    </xf>
    <xf numFmtId="0" fontId="13" fillId="2" borderId="17" xfId="0" applyFont="1" applyFill="1" applyBorder="1" applyAlignment="1">
      <alignment horizontal="center" vertical="center" textRotation="90" wrapText="1"/>
    </xf>
    <xf numFmtId="164" fontId="13" fillId="2" borderId="29" xfId="0" applyNumberFormat="1" applyFont="1" applyFill="1" applyBorder="1" applyAlignment="1">
      <alignment horizontal="center" vertical="center" textRotation="90" wrapText="1"/>
    </xf>
    <xf numFmtId="164" fontId="13" fillId="2" borderId="4" xfId="0" applyNumberFormat="1" applyFont="1" applyFill="1" applyBorder="1" applyAlignment="1">
      <alignment horizontal="center" vertical="center" textRotation="90" wrapText="1"/>
    </xf>
    <xf numFmtId="0" fontId="13" fillId="2" borderId="37"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8" xfId="0" applyFont="1" applyFill="1" applyBorder="1" applyAlignment="1">
      <alignment horizontal="center" vertical="center" wrapText="1"/>
    </xf>
    <xf numFmtId="164" fontId="13" fillId="2" borderId="37" xfId="0" applyNumberFormat="1" applyFont="1" applyFill="1" applyBorder="1" applyAlignment="1">
      <alignment horizontal="center" vertical="center" wrapText="1"/>
    </xf>
    <xf numFmtId="164" fontId="13" fillId="2" borderId="33" xfId="0" applyNumberFormat="1" applyFont="1" applyFill="1" applyBorder="1" applyAlignment="1">
      <alignment horizontal="center" vertical="center" wrapText="1"/>
    </xf>
    <xf numFmtId="164" fontId="13" fillId="2" borderId="38" xfId="0" applyNumberFormat="1" applyFont="1" applyFill="1" applyBorder="1" applyAlignment="1">
      <alignment horizontal="center" vertical="center" wrapText="1"/>
    </xf>
    <xf numFmtId="0" fontId="13" fillId="2" borderId="16" xfId="0" applyFont="1" applyFill="1" applyBorder="1" applyAlignment="1">
      <alignment horizontal="center" vertical="center" textRotation="90" wrapText="1"/>
    </xf>
    <xf numFmtId="0" fontId="84" fillId="0" borderId="0" xfId="0" applyFont="1" applyAlignment="1">
      <alignment horizontal="left" vertical="center" wrapText="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22" fillId="0" borderId="0" xfId="0" applyFont="1" applyAlignment="1">
      <alignment horizontal="center" vertical="center"/>
    </xf>
    <xf numFmtId="0" fontId="13" fillId="2" borderId="37" xfId="0" applyFont="1" applyFill="1" applyBorder="1" applyAlignment="1">
      <alignment vertical="center" wrapText="1"/>
    </xf>
    <xf numFmtId="0" fontId="13" fillId="2" borderId="33" xfId="0" applyFont="1" applyFill="1" applyBorder="1" applyAlignment="1">
      <alignment vertical="center" wrapText="1"/>
    </xf>
    <xf numFmtId="0" fontId="13" fillId="2" borderId="38" xfId="0" applyFont="1" applyFill="1" applyBorder="1" applyAlignment="1">
      <alignment vertical="center" wrapText="1"/>
    </xf>
    <xf numFmtId="0" fontId="12" fillId="0" borderId="4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73" xfId="0" applyFont="1" applyBorder="1" applyAlignment="1">
      <alignment horizontal="center" vertical="center" wrapText="1"/>
    </xf>
    <xf numFmtId="0" fontId="25" fillId="40" borderId="37" xfId="0" applyFont="1" applyFill="1" applyBorder="1" applyAlignment="1">
      <alignment vertical="center" wrapText="1"/>
    </xf>
    <xf numFmtId="0" fontId="25" fillId="40" borderId="24" xfId="0" applyFont="1" applyFill="1" applyBorder="1" applyAlignment="1">
      <alignment vertical="center" wrapText="1"/>
    </xf>
    <xf numFmtId="0" fontId="25" fillId="40" borderId="39" xfId="0" applyFont="1" applyFill="1" applyBorder="1" applyAlignment="1">
      <alignment vertical="center" wrapText="1"/>
    </xf>
    <xf numFmtId="164" fontId="13" fillId="2" borderId="1" xfId="0" applyNumberFormat="1" applyFont="1" applyFill="1" applyBorder="1" applyAlignment="1">
      <alignment horizontal="center" vertical="center" wrapText="1"/>
    </xf>
    <xf numFmtId="164" fontId="13" fillId="2" borderId="16" xfId="0" applyNumberFormat="1" applyFont="1" applyFill="1" applyBorder="1" applyAlignment="1">
      <alignment horizontal="center" vertical="center" wrapText="1"/>
    </xf>
    <xf numFmtId="164" fontId="13" fillId="2" borderId="17" xfId="0" applyNumberFormat="1" applyFont="1" applyFill="1" applyBorder="1" applyAlignment="1">
      <alignment horizontal="center" vertical="center" wrapText="1"/>
    </xf>
    <xf numFmtId="164" fontId="13" fillId="2" borderId="4" xfId="0" applyNumberFormat="1" applyFont="1" applyFill="1" applyBorder="1" applyAlignment="1">
      <alignment horizontal="center" vertical="center" wrapText="1"/>
    </xf>
    <xf numFmtId="164" fontId="13" fillId="2" borderId="9" xfId="0" applyNumberFormat="1" applyFont="1" applyFill="1" applyBorder="1" applyAlignment="1">
      <alignment horizontal="center" vertical="center" wrapText="1"/>
    </xf>
    <xf numFmtId="164" fontId="13" fillId="2" borderId="19" xfId="0" applyNumberFormat="1" applyFont="1" applyFill="1" applyBorder="1" applyAlignment="1">
      <alignment horizontal="center" vertical="center" wrapText="1"/>
    </xf>
    <xf numFmtId="0" fontId="13" fillId="2" borderId="7" xfId="0" applyFont="1" applyFill="1" applyBorder="1" applyAlignment="1">
      <alignment horizontal="center" vertical="center" textRotation="90" wrapText="1"/>
    </xf>
    <xf numFmtId="0" fontId="13" fillId="2" borderId="21" xfId="0" applyFont="1" applyFill="1" applyBorder="1" applyAlignment="1">
      <alignment horizontal="center" vertical="center" textRotation="90" wrapText="1"/>
    </xf>
    <xf numFmtId="0" fontId="13" fillId="2" borderId="20" xfId="0" applyFont="1" applyFill="1" applyBorder="1" applyAlignment="1">
      <alignment horizontal="center" vertical="center" textRotation="90" wrapText="1"/>
    </xf>
    <xf numFmtId="164" fontId="13" fillId="2" borderId="7" xfId="0" applyNumberFormat="1" applyFont="1" applyFill="1" applyBorder="1" applyAlignment="1">
      <alignment horizontal="center" vertical="center" textRotation="90" wrapText="1"/>
    </xf>
    <xf numFmtId="164" fontId="13" fillId="2" borderId="21" xfId="0" applyNumberFormat="1" applyFont="1" applyFill="1" applyBorder="1" applyAlignment="1">
      <alignment horizontal="center" vertical="center" textRotation="90" wrapText="1"/>
    </xf>
    <xf numFmtId="164" fontId="13" fillId="2" borderId="20" xfId="0" applyNumberFormat="1" applyFont="1" applyFill="1" applyBorder="1" applyAlignment="1">
      <alignment horizontal="center" vertical="center" textRotation="90" wrapText="1"/>
    </xf>
    <xf numFmtId="0" fontId="13" fillId="2" borderId="2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89" fillId="4" borderId="50" xfId="52" applyFont="1" applyFill="1" applyBorder="1" applyAlignment="1">
      <alignment horizontal="left" wrapText="1"/>
    </xf>
    <xf numFmtId="0" fontId="51" fillId="0" borderId="0" xfId="52" applyFont="1" applyFill="1" applyAlignment="1">
      <alignment horizontal="left" vertical="center" wrapText="1"/>
    </xf>
    <xf numFmtId="0" fontId="37" fillId="0" borderId="0" xfId="52" applyFont="1" applyFill="1" applyBorder="1" applyAlignment="1">
      <alignment horizontal="center" vertical="center" wrapText="1"/>
    </xf>
    <xf numFmtId="0" fontId="37" fillId="0" borderId="9" xfId="52" applyFont="1" applyFill="1" applyBorder="1" applyAlignment="1">
      <alignment horizontal="center" vertical="center" wrapText="1"/>
    </xf>
    <xf numFmtId="0" fontId="13" fillId="0" borderId="5" xfId="52" applyFont="1" applyBorder="1" applyAlignment="1">
      <alignment horizontal="center" vertical="top" wrapText="1"/>
    </xf>
    <xf numFmtId="0" fontId="13" fillId="0" borderId="10" xfId="52" applyFont="1" applyBorder="1" applyAlignment="1">
      <alignment horizontal="center" vertical="top" wrapText="1"/>
    </xf>
    <xf numFmtId="49" fontId="44" fillId="0" borderId="11" xfId="52" applyNumberFormat="1" applyFont="1" applyFill="1" applyBorder="1" applyAlignment="1">
      <alignment horizontal="center" vertical="top" wrapText="1"/>
    </xf>
    <xf numFmtId="49" fontId="44" fillId="0" borderId="12" xfId="52" applyNumberFormat="1" applyFont="1" applyFill="1" applyBorder="1" applyAlignment="1">
      <alignment horizontal="center" vertical="top" wrapText="1"/>
    </xf>
    <xf numFmtId="0" fontId="37" fillId="0" borderId="15" xfId="52" applyFont="1" applyFill="1" applyBorder="1" applyAlignment="1">
      <alignment horizontal="center" vertical="top" wrapText="1"/>
    </xf>
    <xf numFmtId="0" fontId="37" fillId="0" borderId="51" xfId="52" applyFont="1" applyFill="1" applyBorder="1" applyAlignment="1">
      <alignment horizontal="center" vertical="top" wrapText="1"/>
    </xf>
    <xf numFmtId="0" fontId="43" fillId="5" borderId="0" xfId="0" applyFont="1" applyFill="1" applyBorder="1" applyAlignment="1">
      <alignment horizontal="center" wrapText="1"/>
    </xf>
    <xf numFmtId="0" fontId="43" fillId="5" borderId="50" xfId="0" applyFont="1" applyFill="1" applyBorder="1" applyAlignment="1">
      <alignment horizontal="center" wrapText="1"/>
    </xf>
    <xf numFmtId="0" fontId="51" fillId="0" borderId="0" xfId="0" applyFont="1" applyFill="1" applyAlignment="1">
      <alignment horizontal="left" vertical="center" wrapText="1"/>
    </xf>
    <xf numFmtId="0" fontId="37"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13" fillId="0" borderId="5" xfId="0" applyFont="1" applyBorder="1" applyAlignment="1">
      <alignment horizontal="center" vertical="top" wrapText="1"/>
    </xf>
    <xf numFmtId="0" fontId="13" fillId="0" borderId="10" xfId="0" applyFont="1" applyBorder="1" applyAlignment="1">
      <alignment horizontal="center" vertical="top" wrapText="1"/>
    </xf>
    <xf numFmtId="49" fontId="44" fillId="0" borderId="11" xfId="0" applyNumberFormat="1" applyFont="1" applyFill="1" applyBorder="1" applyAlignment="1">
      <alignment horizontal="center" vertical="top" wrapText="1"/>
    </xf>
    <xf numFmtId="49" fontId="44" fillId="0" borderId="12" xfId="0" applyNumberFormat="1" applyFont="1" applyFill="1" applyBorder="1" applyAlignment="1">
      <alignment horizontal="center" vertical="top" wrapText="1"/>
    </xf>
    <xf numFmtId="0" fontId="37" fillId="0" borderId="11" xfId="0" applyFont="1" applyFill="1" applyBorder="1" applyAlignment="1">
      <alignment horizontal="center" vertical="top" wrapText="1"/>
    </xf>
    <xf numFmtId="0" fontId="37" fillId="0" borderId="12" xfId="0" applyFont="1" applyFill="1" applyBorder="1" applyAlignment="1">
      <alignment horizontal="center" vertical="top" wrapText="1"/>
    </xf>
    <xf numFmtId="0" fontId="43" fillId="5" borderId="50" xfId="111" applyFont="1" applyFill="1" applyBorder="1" applyAlignment="1">
      <alignment horizontal="left" wrapText="1"/>
    </xf>
    <xf numFmtId="0" fontId="37" fillId="0" borderId="9" xfId="111" applyFont="1" applyFill="1" applyBorder="1" applyAlignment="1">
      <alignment horizontal="center" vertical="center" wrapText="1"/>
    </xf>
    <xf numFmtId="0" fontId="51" fillId="0" borderId="0" xfId="111" applyFont="1" applyFill="1" applyAlignment="1">
      <alignment horizontal="left" vertical="center" wrapText="1"/>
    </xf>
    <xf numFmtId="49" fontId="44" fillId="0" borderId="11" xfId="111" applyNumberFormat="1" applyFont="1" applyFill="1" applyBorder="1" applyAlignment="1">
      <alignment horizontal="center" vertical="top" wrapText="1"/>
    </xf>
    <xf numFmtId="49" fontId="44" fillId="0" borderId="12" xfId="111" applyNumberFormat="1" applyFont="1" applyFill="1" applyBorder="1" applyAlignment="1">
      <alignment horizontal="center" vertical="top" wrapText="1"/>
    </xf>
    <xf numFmtId="0" fontId="37" fillId="0" borderId="15" xfId="111" applyFont="1" applyFill="1" applyBorder="1" applyAlignment="1">
      <alignment horizontal="center" vertical="top" wrapText="1"/>
    </xf>
    <xf numFmtId="0" fontId="37" fillId="0" borderId="51" xfId="111" applyFont="1" applyFill="1" applyBorder="1" applyAlignment="1">
      <alignment horizontal="center" vertical="top" wrapText="1"/>
    </xf>
    <xf numFmtId="0" fontId="13" fillId="0" borderId="5" xfId="111" applyFont="1" applyBorder="1" applyAlignment="1">
      <alignment horizontal="center" vertical="top" wrapText="1"/>
    </xf>
    <xf numFmtId="0" fontId="13" fillId="0" borderId="10" xfId="111" applyFont="1" applyBorder="1" applyAlignment="1">
      <alignment horizontal="center" vertical="top" wrapText="1"/>
    </xf>
    <xf numFmtId="0" fontId="37" fillId="0" borderId="0" xfId="111" applyFont="1" applyFill="1" applyBorder="1" applyAlignment="1">
      <alignment horizontal="center" vertical="center" wrapText="1"/>
    </xf>
    <xf numFmtId="167" fontId="95" fillId="0" borderId="6" xfId="3" applyNumberFormat="1" applyFont="1" applyBorder="1" applyAlignment="1">
      <alignment horizontal="left" vertical="center"/>
    </xf>
    <xf numFmtId="0" fontId="94" fillId="2" borderId="5" xfId="0" applyNumberFormat="1" applyFont="1" applyFill="1" applyBorder="1" applyAlignment="1">
      <alignment vertical="center" wrapText="1"/>
    </xf>
    <xf numFmtId="0" fontId="94" fillId="2" borderId="10" xfId="0" applyNumberFormat="1" applyFont="1" applyFill="1" applyBorder="1" applyAlignment="1">
      <alignment vertical="center" wrapText="1"/>
    </xf>
    <xf numFmtId="167" fontId="94" fillId="2" borderId="9" xfId="0" applyNumberFormat="1" applyFont="1" applyFill="1" applyBorder="1" applyAlignment="1">
      <alignment wrapText="1"/>
    </xf>
    <xf numFmtId="0" fontId="93" fillId="0" borderId="9" xfId="3" applyNumberFormat="1" applyFont="1" applyFill="1" applyBorder="1" applyAlignment="1">
      <alignment horizontal="center" vertical="center" wrapText="1"/>
    </xf>
    <xf numFmtId="0" fontId="94" fillId="0" borderId="11" xfId="0" applyNumberFormat="1" applyFont="1" applyBorder="1" applyAlignment="1">
      <alignment horizontal="center" vertical="center" wrapText="1"/>
    </xf>
    <xf numFmtId="0" fontId="94" fillId="0" borderId="12" xfId="0" applyNumberFormat="1" applyFont="1" applyBorder="1" applyAlignment="1">
      <alignment horizontal="center" vertical="center" wrapText="1"/>
    </xf>
    <xf numFmtId="0" fontId="94" fillId="0" borderId="13" xfId="0" applyNumberFormat="1" applyFont="1" applyBorder="1" applyAlignment="1">
      <alignment horizontal="center" vertical="center" wrapText="1"/>
    </xf>
    <xf numFmtId="167" fontId="92" fillId="0" borderId="9" xfId="0" applyNumberFormat="1" applyFont="1" applyBorder="1" applyAlignment="1">
      <alignment horizontal="center" vertical="center" wrapText="1"/>
    </xf>
    <xf numFmtId="167" fontId="94" fillId="2" borderId="5" xfId="0" applyNumberFormat="1" applyFont="1" applyFill="1" applyBorder="1" applyAlignment="1">
      <alignment vertical="center" wrapText="1"/>
    </xf>
    <xf numFmtId="167" fontId="94" fillId="2" borderId="10" xfId="0" applyNumberFormat="1" applyFont="1" applyFill="1" applyBorder="1" applyAlignment="1">
      <alignment vertical="center" wrapText="1"/>
    </xf>
    <xf numFmtId="167" fontId="93" fillId="0" borderId="11" xfId="0" applyNumberFormat="1" applyFont="1" applyBorder="1" applyAlignment="1">
      <alignment horizontal="center" vertical="center" wrapText="1"/>
    </xf>
    <xf numFmtId="167" fontId="93" fillId="0" borderId="12" xfId="0" applyNumberFormat="1" applyFont="1" applyBorder="1" applyAlignment="1">
      <alignment horizontal="center" vertical="center" wrapText="1"/>
    </xf>
    <xf numFmtId="0" fontId="93" fillId="0" borderId="11" xfId="3" applyNumberFormat="1" applyFont="1" applyFill="1" applyBorder="1" applyAlignment="1">
      <alignment horizontal="center" vertical="center" wrapText="1"/>
    </xf>
    <xf numFmtId="0" fontId="93" fillId="0" borderId="12" xfId="3" applyNumberFormat="1" applyFont="1" applyFill="1" applyBorder="1" applyAlignment="1">
      <alignment horizontal="center" vertical="center" wrapText="1"/>
    </xf>
    <xf numFmtId="0" fontId="93" fillId="0" borderId="13" xfId="3" applyNumberFormat="1" applyFont="1" applyFill="1" applyBorder="1" applyAlignment="1">
      <alignment horizontal="center" vertical="center" wrapText="1"/>
    </xf>
    <xf numFmtId="167" fontId="92" fillId="0" borderId="11" xfId="0" applyNumberFormat="1" applyFont="1" applyBorder="1" applyAlignment="1">
      <alignment horizontal="center" vertical="center" wrapText="1"/>
    </xf>
    <xf numFmtId="167" fontId="92" fillId="0" borderId="12" xfId="0" applyNumberFormat="1" applyFont="1" applyBorder="1" applyAlignment="1">
      <alignment horizontal="center" vertical="center" wrapText="1"/>
    </xf>
    <xf numFmtId="167" fontId="92" fillId="0" borderId="13" xfId="0" applyNumberFormat="1" applyFont="1" applyBorder="1" applyAlignment="1">
      <alignment horizontal="center" vertical="center" wrapText="1"/>
    </xf>
    <xf numFmtId="0" fontId="92" fillId="0" borderId="9" xfId="0" applyNumberFormat="1" applyFont="1" applyBorder="1" applyAlignment="1">
      <alignment vertical="center" wrapText="1"/>
    </xf>
    <xf numFmtId="0" fontId="92" fillId="0" borderId="11" xfId="0" applyNumberFormat="1" applyFont="1" applyBorder="1" applyAlignment="1">
      <alignment vertical="center" wrapText="1"/>
    </xf>
    <xf numFmtId="0" fontId="92" fillId="0" borderId="12" xfId="0" applyNumberFormat="1" applyFont="1" applyBorder="1" applyAlignment="1">
      <alignment vertical="center" wrapText="1"/>
    </xf>
    <xf numFmtId="0" fontId="92" fillId="0" borderId="13" xfId="0" applyNumberFormat="1" applyFont="1" applyBorder="1" applyAlignment="1">
      <alignment vertical="center" wrapText="1"/>
    </xf>
    <xf numFmtId="0" fontId="93" fillId="4" borderId="11" xfId="3" applyNumberFormat="1" applyFont="1" applyFill="1" applyBorder="1" applyAlignment="1">
      <alignment horizontal="center" vertical="center" wrapText="1"/>
    </xf>
    <xf numFmtId="0" fontId="93" fillId="4" borderId="12" xfId="3" applyNumberFormat="1" applyFont="1" applyFill="1" applyBorder="1" applyAlignment="1">
      <alignment horizontal="center" vertical="center" wrapText="1"/>
    </xf>
    <xf numFmtId="0" fontId="93" fillId="4" borderId="13" xfId="3" applyNumberFormat="1" applyFont="1" applyFill="1" applyBorder="1" applyAlignment="1">
      <alignment horizontal="center" vertical="center" wrapText="1"/>
    </xf>
    <xf numFmtId="0" fontId="102" fillId="0" borderId="11" xfId="0" applyNumberFormat="1" applyFont="1" applyBorder="1" applyAlignment="1">
      <alignment vertical="top" wrapText="1"/>
    </xf>
    <xf numFmtId="0" fontId="102" fillId="0" borderId="12" xfId="0" applyNumberFormat="1" applyFont="1" applyBorder="1" applyAlignment="1">
      <alignment vertical="top" wrapText="1"/>
    </xf>
    <xf numFmtId="0" fontId="93" fillId="0" borderId="11" xfId="0" applyNumberFormat="1" applyFont="1" applyBorder="1" applyAlignment="1">
      <alignment horizontal="center" vertical="center" wrapText="1"/>
    </xf>
    <xf numFmtId="0" fontId="93" fillId="0" borderId="12" xfId="0" applyNumberFormat="1" applyFont="1" applyBorder="1" applyAlignment="1">
      <alignment horizontal="center" vertical="center" wrapText="1"/>
    </xf>
    <xf numFmtId="0" fontId="93" fillId="0" borderId="13" xfId="0" applyNumberFormat="1" applyFont="1" applyBorder="1" applyAlignment="1">
      <alignment horizontal="center" vertical="center" wrapText="1"/>
    </xf>
    <xf numFmtId="167" fontId="93" fillId="0" borderId="13" xfId="0" applyNumberFormat="1" applyFont="1" applyBorder="1" applyAlignment="1">
      <alignment horizontal="center" vertical="center" wrapText="1"/>
    </xf>
    <xf numFmtId="167" fontId="94" fillId="2" borderId="9" xfId="0" applyNumberFormat="1" applyFont="1" applyFill="1" applyBorder="1" applyAlignment="1">
      <alignment vertical="center" wrapText="1"/>
    </xf>
    <xf numFmtId="0" fontId="93" fillId="4" borderId="9" xfId="3" applyNumberFormat="1" applyFont="1" applyFill="1" applyBorder="1" applyAlignment="1">
      <alignment horizontal="center" vertical="center" wrapText="1"/>
    </xf>
    <xf numFmtId="0" fontId="94" fillId="0" borderId="9" xfId="0" applyNumberFormat="1" applyFont="1" applyBorder="1" applyAlignment="1">
      <alignment horizontal="center" vertical="center" wrapText="1"/>
    </xf>
    <xf numFmtId="167" fontId="98" fillId="0" borderId="11" xfId="0" applyNumberFormat="1" applyFont="1" applyBorder="1" applyAlignment="1">
      <alignment horizontal="center" vertical="center" wrapText="1"/>
    </xf>
    <xf numFmtId="167" fontId="98" fillId="0" borderId="12" xfId="0" applyNumberFormat="1" applyFont="1" applyBorder="1" applyAlignment="1">
      <alignment horizontal="center" vertical="center" wrapText="1"/>
    </xf>
    <xf numFmtId="167" fontId="98" fillId="0" borderId="13" xfId="0" applyNumberFormat="1" applyFont="1" applyBorder="1" applyAlignment="1">
      <alignment horizontal="center" vertical="center" wrapText="1"/>
    </xf>
    <xf numFmtId="167" fontId="98" fillId="0" borderId="11" xfId="0" applyNumberFormat="1" applyFont="1" applyFill="1" applyBorder="1" applyAlignment="1">
      <alignment horizontal="center" vertical="center" wrapText="1"/>
    </xf>
    <xf numFmtId="167" fontId="98" fillId="0" borderId="12" xfId="0" applyNumberFormat="1" applyFont="1" applyFill="1" applyBorder="1" applyAlignment="1">
      <alignment horizontal="center" vertical="center" wrapText="1"/>
    </xf>
    <xf numFmtId="167" fontId="98" fillId="0" borderId="13" xfId="0" applyNumberFormat="1" applyFont="1" applyFill="1" applyBorder="1" applyAlignment="1">
      <alignment horizontal="center" vertical="center" wrapText="1"/>
    </xf>
    <xf numFmtId="0" fontId="94" fillId="2" borderId="9" xfId="0" applyNumberFormat="1" applyFont="1" applyFill="1" applyBorder="1" applyAlignment="1">
      <alignment vertical="center" wrapText="1"/>
    </xf>
    <xf numFmtId="0" fontId="92" fillId="0" borderId="9" xfId="0" applyNumberFormat="1" applyFont="1" applyBorder="1" applyAlignment="1">
      <alignment horizontal="center" vertical="center" wrapText="1"/>
    </xf>
    <xf numFmtId="0" fontId="105" fillId="0" borderId="11" xfId="0" applyNumberFormat="1" applyFont="1" applyBorder="1" applyAlignment="1">
      <alignment horizontal="center" wrapText="1"/>
    </xf>
    <xf numFmtId="0" fontId="105" fillId="0" borderId="12" xfId="0" applyNumberFormat="1" applyFont="1" applyBorder="1" applyAlignment="1">
      <alignment horizontal="center" wrapText="1"/>
    </xf>
    <xf numFmtId="0" fontId="105" fillId="0" borderId="13" xfId="0" applyNumberFormat="1" applyFont="1" applyBorder="1" applyAlignment="1">
      <alignment horizontal="center" wrapText="1"/>
    </xf>
    <xf numFmtId="0" fontId="92" fillId="0" borderId="11" xfId="0" applyNumberFormat="1" applyFont="1" applyBorder="1" applyAlignment="1">
      <alignment horizontal="center" vertical="center" wrapText="1"/>
    </xf>
    <xf numFmtId="0" fontId="92" fillId="0" borderId="12" xfId="0" applyNumberFormat="1" applyFont="1" applyBorder="1" applyAlignment="1">
      <alignment horizontal="center" vertical="center" wrapText="1"/>
    </xf>
    <xf numFmtId="0" fontId="92" fillId="0" borderId="13" xfId="0" applyNumberFormat="1" applyFont="1" applyBorder="1" applyAlignment="1">
      <alignment horizontal="center" vertical="center" wrapText="1"/>
    </xf>
    <xf numFmtId="0" fontId="97" fillId="0" borderId="11" xfId="0" applyNumberFormat="1" applyFont="1" applyFill="1" applyBorder="1" applyAlignment="1">
      <alignment horizontal="center" vertical="center" wrapText="1"/>
    </xf>
    <xf numFmtId="0" fontId="97" fillId="0" borderId="12" xfId="0" applyNumberFormat="1" applyFont="1" applyFill="1" applyBorder="1" applyAlignment="1">
      <alignment horizontal="center" vertical="center" wrapText="1"/>
    </xf>
    <xf numFmtId="0" fontId="97" fillId="0" borderId="13" xfId="0" applyNumberFormat="1" applyFont="1" applyFill="1" applyBorder="1" applyAlignment="1">
      <alignment horizontal="center" vertical="center" wrapText="1"/>
    </xf>
    <xf numFmtId="0" fontId="97" fillId="0" borderId="11" xfId="0" applyNumberFormat="1" applyFont="1" applyBorder="1" applyAlignment="1">
      <alignment horizontal="center" vertical="center" wrapText="1"/>
    </xf>
    <xf numFmtId="0" fontId="97" fillId="0" borderId="12" xfId="0" applyNumberFormat="1" applyFont="1" applyBorder="1" applyAlignment="1">
      <alignment horizontal="center" vertical="center" wrapText="1"/>
    </xf>
    <xf numFmtId="0" fontId="97" fillId="0" borderId="13" xfId="0" applyNumberFormat="1" applyFont="1" applyBorder="1" applyAlignment="1">
      <alignment horizontal="center" vertical="center" wrapText="1"/>
    </xf>
    <xf numFmtId="167" fontId="98" fillId="0" borderId="11" xfId="0" applyNumberFormat="1" applyFont="1" applyBorder="1" applyAlignment="1">
      <alignment horizontal="center" vertical="center"/>
    </xf>
    <xf numFmtId="167" fontId="98" fillId="0" borderId="12" xfId="0" applyNumberFormat="1" applyFont="1" applyBorder="1" applyAlignment="1">
      <alignment horizontal="center" vertical="center"/>
    </xf>
    <xf numFmtId="167" fontId="98" fillId="0" borderId="13" xfId="0" applyNumberFormat="1" applyFont="1" applyBorder="1" applyAlignment="1">
      <alignment horizontal="center" vertical="center"/>
    </xf>
    <xf numFmtId="0" fontId="97" fillId="0" borderId="9" xfId="0" applyNumberFormat="1" applyFont="1" applyFill="1" applyBorder="1" applyAlignment="1">
      <alignment horizontal="center" vertical="center" wrapText="1"/>
    </xf>
    <xf numFmtId="0" fontId="97" fillId="0" borderId="9" xfId="0" applyNumberFormat="1" applyFont="1" applyBorder="1" applyAlignment="1">
      <alignment horizontal="center" vertical="center" wrapText="1"/>
    </xf>
    <xf numFmtId="0" fontId="95" fillId="0" borderId="0" xfId="58" applyFont="1" applyFill="1" applyBorder="1" applyAlignment="1">
      <alignment horizontal="center"/>
    </xf>
    <xf numFmtId="174" fontId="98" fillId="4" borderId="0" xfId="3" applyNumberFormat="1" applyFont="1" applyFill="1" applyBorder="1" applyAlignment="1">
      <alignment horizontal="center" vertical="center" wrapText="1"/>
    </xf>
    <xf numFmtId="0" fontId="95" fillId="2" borderId="5" xfId="58" applyFont="1" applyFill="1" applyBorder="1" applyAlignment="1">
      <alignment horizontal="center" wrapText="1"/>
    </xf>
    <xf numFmtId="0" fontId="95" fillId="2" borderId="6" xfId="58" applyFont="1" applyFill="1" applyBorder="1" applyAlignment="1">
      <alignment horizontal="center" wrapText="1"/>
    </xf>
    <xf numFmtId="0" fontId="95" fillId="2" borderId="10" xfId="58" applyFont="1" applyFill="1" applyBorder="1" applyAlignment="1">
      <alignment horizontal="center" wrapText="1"/>
    </xf>
    <xf numFmtId="0" fontId="115" fillId="46" borderId="11" xfId="0" applyFont="1" applyFill="1" applyBorder="1" applyAlignment="1">
      <alignment horizontal="center" vertical="center" wrapText="1"/>
    </xf>
    <xf numFmtId="0" fontId="115" fillId="46" borderId="12" xfId="0" applyFont="1" applyFill="1" applyBorder="1" applyAlignment="1">
      <alignment horizontal="center" vertical="center" wrapText="1"/>
    </xf>
    <xf numFmtId="0" fontId="115" fillId="46" borderId="13" xfId="0" applyFont="1" applyFill="1" applyBorder="1" applyAlignment="1">
      <alignment horizontal="center" vertical="center" wrapText="1"/>
    </xf>
    <xf numFmtId="0" fontId="115" fillId="2" borderId="11" xfId="0" applyFont="1" applyFill="1" applyBorder="1" applyAlignment="1">
      <alignment horizontal="center" vertical="center" wrapText="1"/>
    </xf>
    <xf numFmtId="0" fontId="115" fillId="2" borderId="12" xfId="0" applyFont="1" applyFill="1" applyBorder="1" applyAlignment="1">
      <alignment horizontal="center" vertical="center" wrapText="1"/>
    </xf>
    <xf numFmtId="0" fontId="115" fillId="2" borderId="13" xfId="0" applyFont="1" applyFill="1" applyBorder="1" applyAlignment="1">
      <alignment horizontal="center" vertical="center" wrapText="1"/>
    </xf>
    <xf numFmtId="0" fontId="94" fillId="0" borderId="9" xfId="15" applyFont="1" applyBorder="1" applyAlignment="1">
      <alignment horizontal="center" vertical="center" wrapText="1"/>
    </xf>
    <xf numFmtId="0" fontId="94" fillId="2" borderId="5" xfId="0" applyFont="1" applyFill="1" applyBorder="1" applyAlignment="1">
      <alignment vertical="center" wrapText="1"/>
    </xf>
    <xf numFmtId="0" fontId="94" fillId="2" borderId="10" xfId="0" applyFont="1" applyFill="1" applyBorder="1" applyAlignment="1">
      <alignment vertical="center" wrapText="1"/>
    </xf>
    <xf numFmtId="0" fontId="115" fillId="2" borderId="9" xfId="0" applyFont="1" applyFill="1" applyBorder="1" applyAlignment="1">
      <alignment horizontal="center" vertical="center" wrapText="1"/>
    </xf>
    <xf numFmtId="0" fontId="95" fillId="2" borderId="5" xfId="58" applyFont="1" applyFill="1" applyBorder="1" applyAlignment="1">
      <alignment horizontal="center" vertical="top" wrapText="1"/>
    </xf>
    <xf numFmtId="0" fontId="95" fillId="2" borderId="10" xfId="58" applyFont="1" applyFill="1" applyBorder="1" applyAlignment="1">
      <alignment horizontal="center" vertical="top" wrapText="1"/>
    </xf>
    <xf numFmtId="0" fontId="93" fillId="0" borderId="25" xfId="58" applyFont="1" applyFill="1" applyBorder="1" applyAlignment="1">
      <alignment horizontal="center" vertical="top"/>
    </xf>
    <xf numFmtId="0" fontId="93" fillId="0" borderId="0" xfId="58" applyFont="1" applyFill="1" applyBorder="1" applyAlignment="1">
      <alignment horizontal="center" vertical="top"/>
    </xf>
    <xf numFmtId="0" fontId="95" fillId="0" borderId="25" xfId="58" applyFont="1" applyFill="1" applyBorder="1" applyAlignment="1">
      <alignment horizontal="center" vertical="top"/>
    </xf>
    <xf numFmtId="0" fontId="95" fillId="0" borderId="0" xfId="58" applyFont="1" applyFill="1" applyBorder="1" applyAlignment="1">
      <alignment horizontal="center" vertical="top"/>
    </xf>
    <xf numFmtId="0" fontId="95" fillId="3" borderId="9" xfId="58" applyFont="1" applyFill="1" applyBorder="1" applyAlignment="1">
      <alignment horizontal="center" vertical="top" wrapText="1"/>
    </xf>
    <xf numFmtId="0" fontId="94" fillId="0" borderId="5" xfId="0" applyFont="1" applyFill="1" applyBorder="1" applyAlignment="1">
      <alignment vertical="center" wrapText="1"/>
    </xf>
    <xf numFmtId="0" fontId="94" fillId="0" borderId="10" xfId="0" applyFont="1" applyFill="1" applyBorder="1" applyAlignment="1">
      <alignment vertical="center" wrapText="1"/>
    </xf>
    <xf numFmtId="0" fontId="95" fillId="0" borderId="25" xfId="58" applyFont="1" applyBorder="1" applyAlignment="1">
      <alignment horizontal="center"/>
    </xf>
    <xf numFmtId="0" fontId="95" fillId="0" borderId="0" xfId="58" applyFont="1" applyBorder="1" applyAlignment="1">
      <alignment horizontal="center"/>
    </xf>
    <xf numFmtId="0" fontId="95" fillId="0" borderId="41" xfId="58" applyFont="1" applyBorder="1" applyAlignment="1">
      <alignment horizontal="center"/>
    </xf>
    <xf numFmtId="0" fontId="95" fillId="0" borderId="42" xfId="58" applyFont="1" applyBorder="1" applyAlignment="1">
      <alignment horizontal="center"/>
    </xf>
    <xf numFmtId="0" fontId="94" fillId="0" borderId="9" xfId="0" applyFont="1" applyFill="1" applyBorder="1" applyAlignment="1">
      <alignment vertical="center" wrapText="1"/>
    </xf>
    <xf numFmtId="0" fontId="94" fillId="2" borderId="9" xfId="0" applyFont="1" applyFill="1" applyBorder="1" applyAlignment="1">
      <alignment vertical="center" wrapText="1"/>
    </xf>
    <xf numFmtId="0" fontId="94" fillId="0" borderId="43" xfId="0" applyNumberFormat="1" applyFont="1" applyFill="1" applyBorder="1" applyAlignment="1">
      <alignment horizontal="left" vertical="top" wrapText="1"/>
    </xf>
    <xf numFmtId="0" fontId="93" fillId="0" borderId="11" xfId="0" applyFont="1" applyFill="1" applyBorder="1" applyAlignment="1">
      <alignment horizontal="left" vertical="top" wrapText="1"/>
    </xf>
    <xf numFmtId="0" fontId="93" fillId="0" borderId="13" xfId="0" applyFont="1" applyFill="1" applyBorder="1" applyAlignment="1">
      <alignment horizontal="left" vertical="top" wrapText="1"/>
    </xf>
    <xf numFmtId="0" fontId="93" fillId="0" borderId="9" xfId="110" applyFont="1" applyBorder="1" applyAlignment="1">
      <alignment horizontal="center" vertical="top" wrapText="1"/>
    </xf>
    <xf numFmtId="0" fontId="93" fillId="0" borderId="11" xfId="110" applyFont="1" applyBorder="1" applyAlignment="1">
      <alignment horizontal="left" vertical="top" wrapText="1"/>
    </xf>
    <xf numFmtId="0" fontId="93" fillId="0" borderId="13" xfId="110" applyFont="1" applyBorder="1" applyAlignment="1">
      <alignment horizontal="left" vertical="top" wrapText="1"/>
    </xf>
    <xf numFmtId="0" fontId="93" fillId="0" borderId="9" xfId="110" applyFont="1" applyFill="1" applyBorder="1" applyAlignment="1">
      <alignment horizontal="left" vertical="top" wrapText="1"/>
    </xf>
    <xf numFmtId="0" fontId="93" fillId="0" borderId="11" xfId="110" applyFont="1" applyBorder="1" applyAlignment="1">
      <alignment horizontal="center" vertical="top" wrapText="1"/>
    </xf>
    <xf numFmtId="0" fontId="93" fillId="0" borderId="13" xfId="110" applyFont="1" applyBorder="1" applyAlignment="1">
      <alignment horizontal="center" vertical="top" wrapText="1"/>
    </xf>
    <xf numFmtId="0" fontId="93" fillId="0" borderId="12" xfId="110" applyFont="1" applyBorder="1" applyAlignment="1">
      <alignment horizontal="center" vertical="top" wrapText="1"/>
    </xf>
    <xf numFmtId="0" fontId="95" fillId="2" borderId="11" xfId="110" applyFont="1" applyFill="1" applyBorder="1" applyAlignment="1">
      <alignment horizontal="center" vertical="top" wrapText="1"/>
    </xf>
    <xf numFmtId="0" fontId="95" fillId="2" borderId="12" xfId="110" applyFont="1" applyFill="1" applyBorder="1" applyAlignment="1">
      <alignment horizontal="center" vertical="top" wrapText="1"/>
    </xf>
    <xf numFmtId="0" fontId="95" fillId="2" borderId="13" xfId="110" applyFont="1" applyFill="1" applyBorder="1" applyAlignment="1">
      <alignment horizontal="center" vertical="top" wrapText="1"/>
    </xf>
    <xf numFmtId="0" fontId="93" fillId="0" borderId="11" xfId="0" applyFont="1" applyFill="1" applyBorder="1" applyAlignment="1">
      <alignment horizontal="center" vertical="top" wrapText="1"/>
    </xf>
    <xf numFmtId="0" fontId="93" fillId="0" borderId="13" xfId="0" applyFont="1" applyFill="1" applyBorder="1" applyAlignment="1">
      <alignment horizontal="center" vertical="top" wrapText="1"/>
    </xf>
    <xf numFmtId="0" fontId="93" fillId="47" borderId="43" xfId="110" applyFont="1" applyFill="1" applyBorder="1" applyAlignment="1">
      <alignment horizontal="left" vertical="center" wrapText="1"/>
    </xf>
    <xf numFmtId="0" fontId="93" fillId="0" borderId="43" xfId="110" applyFont="1" applyFill="1" applyBorder="1" applyAlignment="1">
      <alignment horizontal="left" vertical="center" wrapText="1"/>
    </xf>
    <xf numFmtId="0" fontId="93" fillId="0" borderId="43" xfId="0" applyFont="1" applyBorder="1" applyAlignment="1">
      <alignment horizontal="left" vertical="center" wrapText="1"/>
    </xf>
    <xf numFmtId="0" fontId="93" fillId="47" borderId="5" xfId="0" applyFont="1" applyFill="1" applyBorder="1" applyAlignment="1">
      <alignment horizontal="left" vertical="center" wrapText="1"/>
    </xf>
    <xf numFmtId="0" fontId="93" fillId="47" borderId="10" xfId="0" applyFont="1" applyFill="1" applyBorder="1" applyAlignment="1">
      <alignment horizontal="left" vertical="center" wrapText="1"/>
    </xf>
    <xf numFmtId="0" fontId="93" fillId="0" borderId="14" xfId="0" applyFont="1" applyBorder="1" applyAlignment="1">
      <alignment horizontal="left" vertical="center" wrapText="1"/>
    </xf>
    <xf numFmtId="0" fontId="93" fillId="0" borderId="15" xfId="0" applyFont="1" applyBorder="1" applyAlignment="1">
      <alignment horizontal="left" vertical="center" wrapText="1"/>
    </xf>
    <xf numFmtId="0" fontId="93" fillId="47" borderId="6" xfId="110" applyFont="1" applyFill="1" applyBorder="1" applyAlignment="1">
      <alignment horizontal="left" vertical="center" wrapText="1"/>
    </xf>
    <xf numFmtId="0" fontId="93" fillId="47" borderId="10" xfId="110" applyFont="1" applyFill="1" applyBorder="1" applyAlignment="1">
      <alignment horizontal="left" vertical="center" wrapText="1"/>
    </xf>
    <xf numFmtId="0" fontId="93" fillId="0" borderId="0" xfId="110" applyFont="1" applyFill="1" applyBorder="1" applyAlignment="1">
      <alignment horizontal="left" vertical="center" wrapText="1"/>
    </xf>
    <xf numFmtId="0" fontId="95" fillId="2" borderId="9" xfId="110" applyFont="1" applyFill="1" applyBorder="1" applyAlignment="1">
      <alignment horizontal="left" vertical="top" wrapText="1"/>
    </xf>
    <xf numFmtId="0" fontId="108" fillId="0" borderId="0" xfId="110" applyFont="1" applyFill="1" applyBorder="1" applyAlignment="1">
      <alignment horizontal="center" vertical="top" wrapText="1"/>
    </xf>
    <xf numFmtId="0" fontId="95" fillId="3" borderId="5" xfId="110" applyFont="1" applyFill="1" applyBorder="1" applyAlignment="1">
      <alignment horizontal="center" wrapText="1"/>
    </xf>
    <xf numFmtId="0" fontId="95" fillId="3" borderId="10" xfId="110" applyFont="1" applyFill="1" applyBorder="1" applyAlignment="1">
      <alignment horizontal="center" wrapText="1"/>
    </xf>
    <xf numFmtId="0" fontId="95" fillId="3" borderId="43" xfId="110" applyFont="1" applyFill="1" applyBorder="1" applyAlignment="1">
      <alignment horizontal="center" vertical="center" wrapText="1"/>
    </xf>
    <xf numFmtId="0" fontId="95" fillId="3" borderId="15" xfId="110" applyFont="1" applyFill="1" applyBorder="1" applyAlignment="1">
      <alignment horizontal="center" vertical="center" wrapText="1"/>
    </xf>
    <xf numFmtId="0" fontId="95" fillId="3" borderId="42" xfId="110" applyFont="1" applyFill="1" applyBorder="1" applyAlignment="1">
      <alignment horizontal="center" vertical="center" wrapText="1"/>
    </xf>
    <xf numFmtId="0" fontId="95" fillId="3" borderId="32" xfId="110" applyFont="1" applyFill="1" applyBorder="1" applyAlignment="1">
      <alignment horizontal="center" vertical="center" wrapText="1"/>
    </xf>
    <xf numFmtId="0" fontId="95" fillId="3" borderId="11" xfId="110" applyFont="1" applyFill="1" applyBorder="1" applyAlignment="1">
      <alignment horizontal="center" wrapText="1"/>
    </xf>
    <xf numFmtId="0" fontId="95" fillId="3" borderId="13" xfId="110" applyFont="1" applyFill="1" applyBorder="1" applyAlignment="1">
      <alignment horizontal="center" wrapText="1"/>
    </xf>
  </cellXfs>
  <cellStyles count="112">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Comma" xfId="1" builtinId="3"/>
    <cellStyle name="Comma 10" xfId="34"/>
    <cellStyle name="Comma 2" xfId="5"/>
    <cellStyle name="Comma 2 2" xfId="35"/>
    <cellStyle name="Comma 2 3" xfId="36"/>
    <cellStyle name="Comma 2 4" xfId="37"/>
    <cellStyle name="Comma 3" xfId="38"/>
    <cellStyle name="Comma 3 2" xfId="39"/>
    <cellStyle name="Comma 3 3" xfId="40"/>
    <cellStyle name="Comma 4" xfId="41"/>
    <cellStyle name="Comma 5" xfId="42"/>
    <cellStyle name="Comma 6" xfId="43"/>
    <cellStyle name="Comma 6 2" xfId="44"/>
    <cellStyle name="Comma 7" xfId="45"/>
    <cellStyle name="Comma 7 2" xfId="46"/>
    <cellStyle name="Comma 7 3" xfId="12"/>
    <cellStyle name="Comma 8" xfId="47"/>
    <cellStyle name="Comma 9" xfId="48"/>
    <cellStyle name="Hyperlink" xfId="2" builtinId="8"/>
    <cellStyle name="Hyperlink 2" xfId="15"/>
    <cellStyle name="Hyperlink 3" xfId="14"/>
    <cellStyle name="Normal" xfId="0" builtinId="0"/>
    <cellStyle name="Normal 10" xfId="49"/>
    <cellStyle name="Normal 11" xfId="50"/>
    <cellStyle name="Normal 12" xfId="51"/>
    <cellStyle name="Normal 12 2" xfId="102"/>
    <cellStyle name="Normal 13" xfId="52"/>
    <cellStyle name="Normal 14" xfId="111"/>
    <cellStyle name="Normal 2" xfId="3"/>
    <cellStyle name="Normal 2 2" xfId="6"/>
    <cellStyle name="Normal 2 2 2" xfId="104"/>
    <cellStyle name="Normal 2 3" xfId="53"/>
    <cellStyle name="Normal 2 4" xfId="103"/>
    <cellStyle name="Normal 2_Gorcuxum ashxatakazm" xfId="54"/>
    <cellStyle name="Normal 3" xfId="4"/>
    <cellStyle name="Normal 3 2" xfId="55"/>
    <cellStyle name="Normal 3 2 2" xfId="110"/>
    <cellStyle name="Normal 3 3" xfId="56"/>
    <cellStyle name="Normal 3 4" xfId="105"/>
    <cellStyle name="Normal 3 5" xfId="107"/>
    <cellStyle name="Normal 4" xfId="13"/>
    <cellStyle name="Normal 4 2" xfId="106"/>
    <cellStyle name="Normal 5" xfId="57"/>
    <cellStyle name="Normal 5 2" xfId="58"/>
    <cellStyle name="Normal 6" xfId="59"/>
    <cellStyle name="Normal 6 2" xfId="60"/>
    <cellStyle name="Normal 7" xfId="11"/>
    <cellStyle name="Normal 8" xfId="61"/>
    <cellStyle name="Normal 9" xfId="62"/>
    <cellStyle name="Normal_9.2.karavarmanaparat2013-2015-Ashxatakazm_LILIT 2 2 2" xfId="108"/>
    <cellStyle name="Normal_Flesh_Proforma revised_Geratsschakan plan 15.08.06_2007" xfId="109"/>
    <cellStyle name="Percent 2" xfId="8"/>
    <cellStyle name="Percent 3" xfId="63"/>
    <cellStyle name="Percent 4" xfId="64"/>
    <cellStyle name="SN_241" xfId="100"/>
    <cellStyle name="SN_it" xfId="101"/>
    <cellStyle name="Style 1" xfId="9"/>
    <cellStyle name="Style 1 2" xfId="65"/>
    <cellStyle name="Style 1 3" xfId="66"/>
    <cellStyle name="Style 1 4"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Заголовок 1" xfId="77"/>
    <cellStyle name="Заголовок 2" xfId="78"/>
    <cellStyle name="Заголовок 3" xfId="79"/>
    <cellStyle name="Заголовок 4" xfId="80"/>
    <cellStyle name="Итог" xfId="81"/>
    <cellStyle name="Контрольная ячейка" xfId="82"/>
    <cellStyle name="Название" xfId="83"/>
    <cellStyle name="Нейтральный" xfId="84"/>
    <cellStyle name="Обычный 2" xfId="85"/>
    <cellStyle name="Обычный 3" xfId="86"/>
    <cellStyle name="Обычный_Лист1" xfId="7"/>
    <cellStyle name="Плохой" xfId="87"/>
    <cellStyle name="Пояснение" xfId="88"/>
    <cellStyle name="Примечание" xfId="89"/>
    <cellStyle name="Связанная ячейка" xfId="90"/>
    <cellStyle name="Стиль 1" xfId="91"/>
    <cellStyle name="Стиль 1 2" xfId="10"/>
    <cellStyle name="Стиль 1 2 2" xfId="92"/>
    <cellStyle name="Текст предупреждения" xfId="93"/>
    <cellStyle name="Финансовый 2" xfId="94"/>
    <cellStyle name="Финансовый 2 2" xfId="95"/>
    <cellStyle name="Финансовый 3" xfId="96"/>
    <cellStyle name="Финансовый 3 2" xfId="97"/>
    <cellStyle name="Финансовый 4" xfId="98"/>
    <cellStyle name="Хороший" xfId="99"/>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2553566</xdr:colOff>
      <xdr:row>22</xdr:row>
      <xdr:rowOff>467591</xdr:rowOff>
    </xdr:from>
    <xdr:ext cx="184731" cy="264560"/>
    <xdr:sp macro="" textlink="">
      <xdr:nvSpPr>
        <xdr:cNvPr id="2" name="TextBox 1"/>
        <xdr:cNvSpPr txBox="1"/>
      </xdr:nvSpPr>
      <xdr:spPr>
        <a:xfrm>
          <a:off x="3868016" y="70969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2553566</xdr:colOff>
      <xdr:row>22</xdr:row>
      <xdr:rowOff>467591</xdr:rowOff>
    </xdr:from>
    <xdr:ext cx="184731" cy="264560"/>
    <xdr:sp macro="" textlink="">
      <xdr:nvSpPr>
        <xdr:cNvPr id="3" name="TextBox 2"/>
        <xdr:cNvSpPr txBox="1"/>
      </xdr:nvSpPr>
      <xdr:spPr>
        <a:xfrm>
          <a:off x="3868016" y="70969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2553566</xdr:colOff>
      <xdr:row>22</xdr:row>
      <xdr:rowOff>467591</xdr:rowOff>
    </xdr:from>
    <xdr:ext cx="184731" cy="264560"/>
    <xdr:sp macro="" textlink="">
      <xdr:nvSpPr>
        <xdr:cNvPr id="4" name="TextBox 3"/>
        <xdr:cNvSpPr txBox="1"/>
      </xdr:nvSpPr>
      <xdr:spPr>
        <a:xfrm>
          <a:off x="3868016" y="70969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2553566</xdr:colOff>
      <xdr:row>23</xdr:row>
      <xdr:rowOff>467591</xdr:rowOff>
    </xdr:from>
    <xdr:ext cx="184731" cy="264560"/>
    <xdr:sp macro="" textlink="">
      <xdr:nvSpPr>
        <xdr:cNvPr id="2" name="TextBox 1"/>
        <xdr:cNvSpPr txBox="1"/>
      </xdr:nvSpPr>
      <xdr:spPr>
        <a:xfrm>
          <a:off x="3658466" y="90877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2553566</xdr:colOff>
      <xdr:row>23</xdr:row>
      <xdr:rowOff>467591</xdr:rowOff>
    </xdr:from>
    <xdr:ext cx="184731" cy="264560"/>
    <xdr:sp macro="" textlink="">
      <xdr:nvSpPr>
        <xdr:cNvPr id="3" name="TextBox 2"/>
        <xdr:cNvSpPr txBox="1"/>
      </xdr:nvSpPr>
      <xdr:spPr>
        <a:xfrm>
          <a:off x="3658466" y="90877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xdr:col>
      <xdr:colOff>2553566</xdr:colOff>
      <xdr:row>23</xdr:row>
      <xdr:rowOff>467591</xdr:rowOff>
    </xdr:from>
    <xdr:ext cx="184731" cy="264560"/>
    <xdr:sp macro="" textlink="">
      <xdr:nvSpPr>
        <xdr:cNvPr id="4" name="TextBox 3"/>
        <xdr:cNvSpPr txBox="1"/>
      </xdr:nvSpPr>
      <xdr:spPr>
        <a:xfrm>
          <a:off x="3658466" y="90877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18</xdr:row>
      <xdr:rowOff>467591</xdr:rowOff>
    </xdr:from>
    <xdr:ext cx="184731" cy="264560"/>
    <xdr:sp macro="" textlink="">
      <xdr:nvSpPr>
        <xdr:cNvPr id="2" name="TextBox 1"/>
        <xdr:cNvSpPr txBox="1"/>
      </xdr:nvSpPr>
      <xdr:spPr>
        <a:xfrm>
          <a:off x="3696566" y="8335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18</xdr:row>
      <xdr:rowOff>467591</xdr:rowOff>
    </xdr:from>
    <xdr:ext cx="184731" cy="264560"/>
    <xdr:sp macro="" textlink="">
      <xdr:nvSpPr>
        <xdr:cNvPr id="3" name="TextBox 2"/>
        <xdr:cNvSpPr txBox="1"/>
      </xdr:nvSpPr>
      <xdr:spPr>
        <a:xfrm>
          <a:off x="3696566" y="8335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18</xdr:row>
      <xdr:rowOff>467591</xdr:rowOff>
    </xdr:from>
    <xdr:ext cx="184731" cy="264560"/>
    <xdr:sp macro="" textlink="">
      <xdr:nvSpPr>
        <xdr:cNvPr id="4" name="TextBox 3"/>
        <xdr:cNvSpPr txBox="1"/>
      </xdr:nvSpPr>
      <xdr:spPr>
        <a:xfrm>
          <a:off x="3696566" y="83352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18</xdr:row>
      <xdr:rowOff>467591</xdr:rowOff>
    </xdr:from>
    <xdr:ext cx="184731" cy="264560"/>
    <xdr:sp macro="" textlink="">
      <xdr:nvSpPr>
        <xdr:cNvPr id="5" name="TextBox 4"/>
        <xdr:cNvSpPr txBox="1"/>
      </xdr:nvSpPr>
      <xdr:spPr>
        <a:xfrm>
          <a:off x="0" y="96211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18</xdr:row>
      <xdr:rowOff>467591</xdr:rowOff>
    </xdr:from>
    <xdr:ext cx="184731" cy="264560"/>
    <xdr:sp macro="" textlink="">
      <xdr:nvSpPr>
        <xdr:cNvPr id="6" name="TextBox 5"/>
        <xdr:cNvSpPr txBox="1"/>
      </xdr:nvSpPr>
      <xdr:spPr>
        <a:xfrm>
          <a:off x="0" y="96211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18</xdr:row>
      <xdr:rowOff>467591</xdr:rowOff>
    </xdr:from>
    <xdr:ext cx="184731" cy="264560"/>
    <xdr:sp macro="" textlink="">
      <xdr:nvSpPr>
        <xdr:cNvPr id="7" name="TextBox 6"/>
        <xdr:cNvSpPr txBox="1"/>
      </xdr:nvSpPr>
      <xdr:spPr>
        <a:xfrm>
          <a:off x="0" y="96211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17</xdr:row>
      <xdr:rowOff>467591</xdr:rowOff>
    </xdr:from>
    <xdr:ext cx="184731" cy="264560"/>
    <xdr:sp macro="" textlink="">
      <xdr:nvSpPr>
        <xdr:cNvPr id="8" name="TextBox 7"/>
        <xdr:cNvSpPr txBox="1"/>
      </xdr:nvSpPr>
      <xdr:spPr>
        <a:xfrm>
          <a:off x="0" y="7087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17</xdr:row>
      <xdr:rowOff>467591</xdr:rowOff>
    </xdr:from>
    <xdr:ext cx="184731" cy="264560"/>
    <xdr:sp macro="" textlink="">
      <xdr:nvSpPr>
        <xdr:cNvPr id="9" name="TextBox 8"/>
        <xdr:cNvSpPr txBox="1"/>
      </xdr:nvSpPr>
      <xdr:spPr>
        <a:xfrm>
          <a:off x="0" y="7087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17</xdr:row>
      <xdr:rowOff>467591</xdr:rowOff>
    </xdr:from>
    <xdr:ext cx="184731" cy="264560"/>
    <xdr:sp macro="" textlink="">
      <xdr:nvSpPr>
        <xdr:cNvPr id="10" name="TextBox 9"/>
        <xdr:cNvSpPr txBox="1"/>
      </xdr:nvSpPr>
      <xdr:spPr>
        <a:xfrm>
          <a:off x="0" y="7087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17</xdr:row>
      <xdr:rowOff>467591</xdr:rowOff>
    </xdr:from>
    <xdr:ext cx="184731" cy="264560"/>
    <xdr:sp macro="" textlink="">
      <xdr:nvSpPr>
        <xdr:cNvPr id="11" name="TextBox 10"/>
        <xdr:cNvSpPr txBox="1"/>
      </xdr:nvSpPr>
      <xdr:spPr>
        <a:xfrm>
          <a:off x="0" y="7087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17</xdr:row>
      <xdr:rowOff>467591</xdr:rowOff>
    </xdr:from>
    <xdr:ext cx="184731" cy="264560"/>
    <xdr:sp macro="" textlink="">
      <xdr:nvSpPr>
        <xdr:cNvPr id="12" name="TextBox 11"/>
        <xdr:cNvSpPr txBox="1"/>
      </xdr:nvSpPr>
      <xdr:spPr>
        <a:xfrm>
          <a:off x="0" y="7087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17</xdr:row>
      <xdr:rowOff>467591</xdr:rowOff>
    </xdr:from>
    <xdr:ext cx="184731" cy="264560"/>
    <xdr:sp macro="" textlink="">
      <xdr:nvSpPr>
        <xdr:cNvPr id="13" name="TextBox 12"/>
        <xdr:cNvSpPr txBox="1"/>
      </xdr:nvSpPr>
      <xdr:spPr>
        <a:xfrm>
          <a:off x="0" y="7087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17</xdr:row>
      <xdr:rowOff>467591</xdr:rowOff>
    </xdr:from>
    <xdr:ext cx="184731" cy="264560"/>
    <xdr:sp macro="" textlink="">
      <xdr:nvSpPr>
        <xdr:cNvPr id="2" name="TextBox 1"/>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17</xdr:row>
      <xdr:rowOff>467591</xdr:rowOff>
    </xdr:from>
    <xdr:ext cx="184731" cy="264560"/>
    <xdr:sp macro="" textlink="">
      <xdr:nvSpPr>
        <xdr:cNvPr id="3" name="TextBox 2"/>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17</xdr:row>
      <xdr:rowOff>467591</xdr:rowOff>
    </xdr:from>
    <xdr:ext cx="184731" cy="264560"/>
    <xdr:sp macro="" textlink="">
      <xdr:nvSpPr>
        <xdr:cNvPr id="4" name="TextBox 3"/>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17</xdr:row>
      <xdr:rowOff>467591</xdr:rowOff>
    </xdr:from>
    <xdr:ext cx="184731" cy="264560"/>
    <xdr:sp macro="" textlink="">
      <xdr:nvSpPr>
        <xdr:cNvPr id="5" name="TextBox 4"/>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17</xdr:row>
      <xdr:rowOff>467591</xdr:rowOff>
    </xdr:from>
    <xdr:ext cx="184731" cy="264560"/>
    <xdr:sp macro="" textlink="">
      <xdr:nvSpPr>
        <xdr:cNvPr id="6" name="TextBox 5"/>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17</xdr:row>
      <xdr:rowOff>467591</xdr:rowOff>
    </xdr:from>
    <xdr:ext cx="184731" cy="264560"/>
    <xdr:sp macro="" textlink="">
      <xdr:nvSpPr>
        <xdr:cNvPr id="7" name="TextBox 6"/>
        <xdr:cNvSpPr txBox="1"/>
      </xdr:nvSpPr>
      <xdr:spPr>
        <a:xfrm>
          <a:off x="0" y="79923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21</xdr:row>
      <xdr:rowOff>467591</xdr:rowOff>
    </xdr:from>
    <xdr:ext cx="184731" cy="264560"/>
    <xdr:sp macro="" textlink="">
      <xdr:nvSpPr>
        <xdr:cNvPr id="12" name="TextBox 11"/>
        <xdr:cNvSpPr txBox="1"/>
      </xdr:nvSpPr>
      <xdr:spPr>
        <a:xfrm>
          <a:off x="0" y="7325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21</xdr:row>
      <xdr:rowOff>467591</xdr:rowOff>
    </xdr:from>
    <xdr:ext cx="184731" cy="264560"/>
    <xdr:sp macro="" textlink="">
      <xdr:nvSpPr>
        <xdr:cNvPr id="13" name="TextBox 12"/>
        <xdr:cNvSpPr txBox="1"/>
      </xdr:nvSpPr>
      <xdr:spPr>
        <a:xfrm>
          <a:off x="0" y="7325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21</xdr:row>
      <xdr:rowOff>467591</xdr:rowOff>
    </xdr:from>
    <xdr:ext cx="184731" cy="264560"/>
    <xdr:sp macro="" textlink="">
      <xdr:nvSpPr>
        <xdr:cNvPr id="14" name="TextBox 13"/>
        <xdr:cNvSpPr txBox="1"/>
      </xdr:nvSpPr>
      <xdr:spPr>
        <a:xfrm>
          <a:off x="0" y="7325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21</xdr:row>
      <xdr:rowOff>467591</xdr:rowOff>
    </xdr:from>
    <xdr:ext cx="184731" cy="264560"/>
    <xdr:sp macro="" textlink="">
      <xdr:nvSpPr>
        <xdr:cNvPr id="15" name="TextBox 14"/>
        <xdr:cNvSpPr txBox="1"/>
      </xdr:nvSpPr>
      <xdr:spPr>
        <a:xfrm>
          <a:off x="0" y="7325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21</xdr:row>
      <xdr:rowOff>467591</xdr:rowOff>
    </xdr:from>
    <xdr:ext cx="184731" cy="264560"/>
    <xdr:sp macro="" textlink="">
      <xdr:nvSpPr>
        <xdr:cNvPr id="16" name="TextBox 15"/>
        <xdr:cNvSpPr txBox="1"/>
      </xdr:nvSpPr>
      <xdr:spPr>
        <a:xfrm>
          <a:off x="0" y="7325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21</xdr:row>
      <xdr:rowOff>467591</xdr:rowOff>
    </xdr:from>
    <xdr:ext cx="184731" cy="264560"/>
    <xdr:sp macro="" textlink="">
      <xdr:nvSpPr>
        <xdr:cNvPr id="17" name="TextBox 16"/>
        <xdr:cNvSpPr txBox="1"/>
      </xdr:nvSpPr>
      <xdr:spPr>
        <a:xfrm>
          <a:off x="0" y="7325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M-Nax_2020_byuje_Texekanq.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ayter%20Minfin/6_KfW_Syuniq_Cragir/CITEC_Hayt_2021-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tom/Desktop/2021-2023/4%20SHM_nax_2021_2023_MJCC_Hayt/1%20mas/2_1071/1.Karavarman_aparat_2021-2023-SHMNa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71_11001.11002,31001/2.Karavarman_aparat_2021_2023%20CI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_1173/01%201173_11001,31001%20Karavarman_aparat_2021_2023%20Antarkomite/1.%201173_11001_Karavarman_aparat_2021_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Hastiq"/>
      <sheetName val="Sheet1"/>
      <sheetName val="cragrer"/>
      <sheetName val="Sheet3"/>
      <sheetName val="KFW"/>
      <sheetName val="2020_tnt_hodv"/>
      <sheetName val="2020_tnt_hodv (2)"/>
    </sheetNames>
    <sheetDataSet>
      <sheetData sheetId="0" refreshError="1">
        <row r="8">
          <cell r="N8">
            <v>45461.8</v>
          </cell>
        </row>
        <row r="9">
          <cell r="N9">
            <v>273641.8</v>
          </cell>
        </row>
        <row r="11">
          <cell r="N11">
            <v>1053075.6000000001</v>
          </cell>
        </row>
        <row r="12">
          <cell r="N12">
            <v>99042.7</v>
          </cell>
        </row>
        <row r="13">
          <cell r="N13">
            <v>15936.2</v>
          </cell>
        </row>
        <row r="17">
          <cell r="N17">
            <v>423154.3</v>
          </cell>
        </row>
        <row r="18">
          <cell r="N18">
            <v>208238.5</v>
          </cell>
        </row>
        <row r="19">
          <cell r="N19">
            <v>7624.3</v>
          </cell>
        </row>
        <row r="20">
          <cell r="N20">
            <v>303897.7</v>
          </cell>
        </row>
        <row r="21">
          <cell r="N21">
            <v>164366.29999999999</v>
          </cell>
        </row>
        <row r="22">
          <cell r="N22">
            <v>169254.1</v>
          </cell>
        </row>
        <row r="23">
          <cell r="N23">
            <v>152887.29999999999</v>
          </cell>
        </row>
        <row r="24">
          <cell r="N24">
            <v>55404.9</v>
          </cell>
        </row>
        <row r="25">
          <cell r="N25">
            <v>16026.6</v>
          </cell>
        </row>
        <row r="26">
          <cell r="N26">
            <v>169524.2</v>
          </cell>
        </row>
        <row r="27">
          <cell r="N27">
            <v>7000</v>
          </cell>
        </row>
        <row r="28">
          <cell r="N28">
            <v>493680</v>
          </cell>
        </row>
        <row r="29">
          <cell r="N29">
            <v>669537.69999999995</v>
          </cell>
        </row>
        <row r="31">
          <cell r="N31">
            <v>251232.2</v>
          </cell>
        </row>
        <row r="32">
          <cell r="N32">
            <v>1335485.8999999999</v>
          </cell>
        </row>
        <row r="33">
          <cell r="N33">
            <v>15000</v>
          </cell>
        </row>
        <row r="34">
          <cell r="N34">
            <v>43710.9</v>
          </cell>
        </row>
        <row r="35">
          <cell r="N35">
            <v>53325.8</v>
          </cell>
        </row>
        <row r="36">
          <cell r="N36">
            <v>3552.8</v>
          </cell>
        </row>
        <row r="37">
          <cell r="N37">
            <v>61126</v>
          </cell>
        </row>
        <row r="38">
          <cell r="N38">
            <v>413781.5</v>
          </cell>
        </row>
        <row r="39">
          <cell r="N39">
            <v>125733.3</v>
          </cell>
        </row>
        <row r="41">
          <cell r="N41">
            <v>50604.9</v>
          </cell>
        </row>
        <row r="42">
          <cell r="N42">
            <v>302772.2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2023"/>
      <sheetName val="2021"/>
    </sheetNames>
    <sheetDataSet>
      <sheetData sheetId="0">
        <row r="13">
          <cell r="H13">
            <v>1054697.3999999999</v>
          </cell>
          <cell r="I13">
            <v>32397.1</v>
          </cell>
          <cell r="K13">
            <v>157498.89000000001</v>
          </cell>
          <cell r="L13">
            <v>17783.37</v>
          </cell>
        </row>
        <row r="16">
          <cell r="K16">
            <v>63743.38</v>
          </cell>
          <cell r="L16">
            <v>7143.84</v>
          </cell>
        </row>
        <row r="19">
          <cell r="H19">
            <v>120700</v>
          </cell>
        </row>
        <row r="22">
          <cell r="I22">
            <v>10333.299999999999</v>
          </cell>
          <cell r="K22">
            <v>50707.85</v>
          </cell>
        </row>
        <row r="23">
          <cell r="H23">
            <v>5159.3</v>
          </cell>
          <cell r="I23">
            <v>513.4</v>
          </cell>
          <cell r="K23">
            <v>760</v>
          </cell>
        </row>
        <row r="24">
          <cell r="H24">
            <v>47033.9</v>
          </cell>
          <cell r="I24">
            <v>9215</v>
          </cell>
          <cell r="K24">
            <v>2851.79</v>
          </cell>
          <cell r="L24">
            <v>341.59</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ԱՄՓՈՓ"/>
      <sheetName val="2-ԸՆԴԱՄԵՆԸ ԾԱԽՍԵՐ"/>
      <sheetName val="3-Ծախսերի բացվածք"/>
      <sheetName val="4-ԿԱՊ"/>
      <sheetName val="7-էլ-էներգիա"/>
      <sheetName val="8-էլ-էներգիա-ջեռուցում"/>
      <sheetName val="9-գազով ջեռուցում"/>
      <sheetName val="10-գործուղում"/>
      <sheetName val="11-ավտոմեքենա"/>
      <sheetName val="12-վարչական սարքավորումներ"/>
      <sheetName val="13համազգեստ"/>
      <sheetName val="14տարածքներ"/>
      <sheetName val="15կառուցվածք"/>
      <sheetName val="16հաստիքացուցակ"/>
      <sheetName val="29աշխատավարձի ֆոնդ"/>
      <sheetName val="30ամփոփ-ցուցանիշներ"/>
    </sheetNames>
    <sheetDataSet>
      <sheetData sheetId="0" refreshError="1"/>
      <sheetData sheetId="1" refreshError="1"/>
      <sheetData sheetId="2">
        <row r="13">
          <cell r="E13">
            <v>14202.1</v>
          </cell>
          <cell r="G13">
            <v>17001.03</v>
          </cell>
        </row>
        <row r="17">
          <cell r="E17">
            <v>48.5</v>
          </cell>
          <cell r="G17">
            <v>48.5</v>
          </cell>
        </row>
        <row r="18">
          <cell r="E18">
            <v>1720.5</v>
          </cell>
          <cell r="G18">
            <v>1720.5</v>
          </cell>
        </row>
        <row r="19">
          <cell r="E19">
            <v>9316.7000000000007</v>
          </cell>
          <cell r="G19">
            <v>9979.9156800000001</v>
          </cell>
        </row>
        <row r="28">
          <cell r="E28">
            <v>560</v>
          </cell>
          <cell r="G28">
            <v>560</v>
          </cell>
        </row>
        <row r="32">
          <cell r="E32">
            <v>2549.1</v>
          </cell>
          <cell r="G32">
            <v>2549.1</v>
          </cell>
        </row>
        <row r="36">
          <cell r="E36">
            <v>1880</v>
          </cell>
          <cell r="G36">
            <v>7205</v>
          </cell>
        </row>
        <row r="45">
          <cell r="E45">
            <v>500</v>
          </cell>
          <cell r="G45">
            <v>500</v>
          </cell>
        </row>
        <row r="49">
          <cell r="E49">
            <v>0</v>
          </cell>
          <cell r="G49">
            <v>1000</v>
          </cell>
        </row>
        <row r="53">
          <cell r="E53">
            <v>1500</v>
          </cell>
          <cell r="G53">
            <v>1500</v>
          </cell>
        </row>
        <row r="57">
          <cell r="E57">
            <v>815</v>
          </cell>
          <cell r="G57">
            <v>815</v>
          </cell>
        </row>
        <row r="63">
          <cell r="E63">
            <v>0</v>
          </cell>
          <cell r="G63">
            <v>1164</v>
          </cell>
        </row>
        <row r="70">
          <cell r="E70">
            <v>450</v>
          </cell>
          <cell r="G70">
            <v>450</v>
          </cell>
        </row>
        <row r="71">
          <cell r="E71">
            <v>500</v>
          </cell>
          <cell r="G71">
            <v>500</v>
          </cell>
        </row>
        <row r="72">
          <cell r="E72">
            <v>270</v>
          </cell>
          <cell r="G72">
            <v>270</v>
          </cell>
        </row>
        <row r="73">
          <cell r="E73">
            <v>114.6</v>
          </cell>
          <cell r="G73">
            <v>114.6</v>
          </cell>
        </row>
        <row r="74">
          <cell r="E74">
            <v>400</v>
          </cell>
          <cell r="G74">
            <v>400</v>
          </cell>
        </row>
        <row r="75">
          <cell r="E75">
            <v>480</v>
          </cell>
          <cell r="G75">
            <v>480</v>
          </cell>
        </row>
        <row r="76">
          <cell r="E76">
            <v>900</v>
          </cell>
          <cell r="G76">
            <v>900</v>
          </cell>
        </row>
        <row r="77">
          <cell r="E77">
            <v>300</v>
          </cell>
          <cell r="G77">
            <v>300</v>
          </cell>
        </row>
        <row r="78">
          <cell r="E78">
            <v>2924.9999040000007</v>
          </cell>
          <cell r="G78">
            <v>3063.5999040000006</v>
          </cell>
        </row>
        <row r="148">
          <cell r="E148">
            <v>14416.8</v>
          </cell>
          <cell r="G148">
            <v>14449.6</v>
          </cell>
        </row>
        <row r="165">
          <cell r="E165">
            <v>765</v>
          </cell>
          <cell r="G165">
            <v>765</v>
          </cell>
        </row>
        <row r="192">
          <cell r="E192">
            <v>0</v>
          </cell>
          <cell r="G192">
            <v>0</v>
          </cell>
        </row>
        <row r="197">
          <cell r="E197">
            <v>0</v>
          </cell>
          <cell r="G197">
            <v>0</v>
          </cell>
        </row>
        <row r="201">
          <cell r="E201">
            <v>15936.2</v>
          </cell>
          <cell r="G201">
            <v>15938.599199999999</v>
          </cell>
        </row>
        <row r="233">
          <cell r="E233">
            <v>0</v>
          </cell>
          <cell r="G233">
            <v>0</v>
          </cell>
        </row>
      </sheetData>
      <sheetData sheetId="3" refreshError="1"/>
      <sheetData sheetId="4" refreshError="1"/>
      <sheetData sheetId="5" refreshError="1"/>
      <sheetData sheetId="6" refreshError="1"/>
      <sheetData sheetId="7">
        <row r="69">
          <cell r="L69">
            <v>9113</v>
          </cell>
          <cell r="S69">
            <v>9471</v>
          </cell>
        </row>
      </sheetData>
      <sheetData sheetId="8" refreshError="1"/>
      <sheetData sheetId="9" refreshError="1"/>
      <sheetData sheetId="10" refreshError="1"/>
      <sheetData sheetId="11" refreshError="1"/>
      <sheetData sheetId="12" refreshError="1"/>
      <sheetData sheetId="13" refreshError="1"/>
      <sheetData sheetId="14">
        <row r="14">
          <cell r="H14">
            <v>665109665.72081017</v>
          </cell>
          <cell r="Z14">
            <v>674920865.68093324</v>
          </cell>
          <cell r="AF14">
            <v>681508865.50422442</v>
          </cell>
        </row>
        <row r="20">
          <cell r="H20">
            <v>778418799.72081017</v>
          </cell>
          <cell r="N20">
            <v>769243599.57352757</v>
          </cell>
          <cell r="Z20">
            <v>788229999.68093324</v>
          </cell>
          <cell r="AF20">
            <v>794817999.50422442</v>
          </cell>
        </row>
      </sheetData>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ԱՄՓՈՓ"/>
      <sheetName val="2-ԸՆԴԱՄԵՆԸ ԾԱԽՍԵՐ"/>
      <sheetName val="29աշխատավարձի ֆոնդ"/>
      <sheetName val="3-Ծախսերի բացվածք"/>
      <sheetName val="4-ԿԱՊ"/>
      <sheetName val="7-էլ-էներգիա"/>
      <sheetName val="8-էլ-էներգիա-ջեռուցում"/>
      <sheetName val="9-գազով ջեռուցում"/>
      <sheetName val="10-գործուղում"/>
      <sheetName val="11-ավտոմեքենա"/>
      <sheetName val="12-վարչական սարքավորումներ"/>
      <sheetName val="13համազգեստ"/>
      <sheetName val="14տարածքներ"/>
      <sheetName val="15կառուցվածք"/>
      <sheetName val="16հաստիքացուցակ"/>
      <sheetName val="30ամփոփ-ցուցանիշներ"/>
    </sheetNames>
    <sheetDataSet>
      <sheetData sheetId="0"/>
      <sheetData sheetId="1"/>
      <sheetData sheetId="2">
        <row r="20">
          <cell r="H20">
            <v>71831700.430054009</v>
          </cell>
          <cell r="N20">
            <v>71831700.430054009</v>
          </cell>
          <cell r="Z20">
            <v>71831700.430054009</v>
          </cell>
          <cell r="AF20">
            <v>71831700.430054009</v>
          </cell>
        </row>
      </sheetData>
      <sheetData sheetId="3">
        <row r="22">
          <cell r="E22">
            <v>1011</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ԱՄՓՈՓ"/>
      <sheetName val="4-ԿԱՊ"/>
      <sheetName val="7-էլ-էներգիա"/>
      <sheetName val="8-էլ-էներգիա-ջեռուցում"/>
      <sheetName val="9-գազով ջեռուցում"/>
      <sheetName val="10-գործուղում"/>
      <sheetName val="11-ավտոմեքենա"/>
      <sheetName val="12-վարչական սարքավորումներ"/>
      <sheetName val="13համազգեստ"/>
      <sheetName val="14տարածքներ"/>
      <sheetName val="15կառուցվածք"/>
      <sheetName val="16հաստիքացուցակ"/>
      <sheetName val="29աշխատավարձի ֆոնդ"/>
      <sheetName val="30ամփոփ-ցուցանիշներ"/>
    </sheetNames>
    <sheetDataSet>
      <sheetData sheetId="0" refreshError="1"/>
      <sheetData sheetId="1">
        <row r="40">
          <cell r="P40">
            <v>4057.6668479999998</v>
          </cell>
        </row>
      </sheetData>
      <sheetData sheetId="2">
        <row r="19">
          <cell r="I19">
            <v>2807.7998540799999</v>
          </cell>
        </row>
      </sheetData>
      <sheetData sheetId="3">
        <row r="14">
          <cell r="H14">
            <v>4587.5562595199999</v>
          </cell>
        </row>
      </sheetData>
      <sheetData sheetId="4" refreshError="1"/>
      <sheetData sheetId="5">
        <row r="24">
          <cell r="L24">
            <v>7238</v>
          </cell>
          <cell r="S24">
            <v>7238</v>
          </cell>
        </row>
      </sheetData>
      <sheetData sheetId="6" refreshError="1"/>
      <sheetData sheetId="7" refreshError="1"/>
      <sheetData sheetId="8" refreshError="1"/>
      <sheetData sheetId="9" refreshError="1"/>
      <sheetData sheetId="10" refreshError="1"/>
      <sheetData sheetId="11">
        <row r="106">
          <cell r="K106">
            <v>1659513</v>
          </cell>
        </row>
        <row r="108">
          <cell r="K108">
            <v>12248527</v>
          </cell>
        </row>
      </sheetData>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66"/>
  <sheetViews>
    <sheetView tabSelected="1" topLeftCell="A6" zoomScale="90" zoomScaleNormal="90" zoomScaleSheetLayoutView="70" workbookViewId="0">
      <selection activeCell="D13" sqref="D13"/>
    </sheetView>
  </sheetViews>
  <sheetFormatPr defaultRowHeight="16.5"/>
  <cols>
    <col min="1" max="1" width="6.140625" style="173" customWidth="1"/>
    <col min="2" max="2" width="3.85546875" style="173" customWidth="1"/>
    <col min="3" max="3" width="6.5703125" style="173" customWidth="1"/>
    <col min="4" max="4" width="53.7109375" style="174" customWidth="1"/>
    <col min="5" max="5" width="14.7109375" style="175" hidden="1" customWidth="1"/>
    <col min="6" max="6" width="14.140625" style="209" customWidth="1"/>
    <col min="7" max="7" width="14.5703125" style="209" customWidth="1"/>
    <col min="8" max="8" width="14.140625" style="659" customWidth="1"/>
    <col min="9" max="9" width="14" style="659" customWidth="1"/>
    <col min="10" max="10" width="13.28515625" style="659" customWidth="1"/>
    <col min="11" max="11" width="13" style="209" customWidth="1"/>
    <col min="12" max="13" width="13.28515625" style="209" customWidth="1"/>
    <col min="14" max="239" width="9.140625" style="51"/>
    <col min="240" max="240" width="5.7109375" style="51" customWidth="1"/>
    <col min="241" max="241" width="6.85546875" style="51" customWidth="1"/>
    <col min="242" max="242" width="50.140625" style="51" customWidth="1"/>
    <col min="243" max="244" width="11.42578125" style="51" customWidth="1"/>
    <col min="245" max="248" width="0" style="51" hidden="1" customWidth="1"/>
    <col min="249" max="249" width="13.140625" style="51" customWidth="1"/>
    <col min="250" max="250" width="12.42578125" style="51" customWidth="1"/>
    <col min="251" max="251" width="12.28515625" style="51" customWidth="1"/>
    <col min="252" max="254" width="0" style="51" hidden="1" customWidth="1"/>
    <col min="255" max="255" width="12.7109375" style="51" customWidth="1"/>
    <col min="256" max="256" width="12.42578125" style="51" customWidth="1"/>
    <col min="257" max="257" width="13.28515625" style="51" customWidth="1"/>
    <col min="258" max="258" width="12.42578125" style="51" customWidth="1"/>
    <col min="259" max="259" width="11.7109375" style="51" customWidth="1"/>
    <col min="260" max="260" width="11.42578125" style="51" customWidth="1"/>
    <col min="261" max="261" width="11.5703125" style="51" bestFit="1" customWidth="1"/>
    <col min="262" max="262" width="11.85546875" style="51" customWidth="1"/>
    <col min="263" max="263" width="12" style="51" customWidth="1"/>
    <col min="264" max="495" width="9.140625" style="51"/>
    <col min="496" max="496" width="5.7109375" style="51" customWidth="1"/>
    <col min="497" max="497" width="6.85546875" style="51" customWidth="1"/>
    <col min="498" max="498" width="50.140625" style="51" customWidth="1"/>
    <col min="499" max="500" width="11.42578125" style="51" customWidth="1"/>
    <col min="501" max="504" width="0" style="51" hidden="1" customWidth="1"/>
    <col min="505" max="505" width="13.140625" style="51" customWidth="1"/>
    <col min="506" max="506" width="12.42578125" style="51" customWidth="1"/>
    <col min="507" max="507" width="12.28515625" style="51" customWidth="1"/>
    <col min="508" max="510" width="0" style="51" hidden="1" customWidth="1"/>
    <col min="511" max="511" width="12.7109375" style="51" customWidth="1"/>
    <col min="512" max="512" width="12.42578125" style="51" customWidth="1"/>
    <col min="513" max="513" width="13.28515625" style="51" customWidth="1"/>
    <col min="514" max="514" width="12.42578125" style="51" customWidth="1"/>
    <col min="515" max="515" width="11.7109375" style="51" customWidth="1"/>
    <col min="516" max="516" width="11.42578125" style="51" customWidth="1"/>
    <col min="517" max="517" width="11.5703125" style="51" bestFit="1" customWidth="1"/>
    <col min="518" max="518" width="11.85546875" style="51" customWidth="1"/>
    <col min="519" max="519" width="12" style="51" customWidth="1"/>
    <col min="520" max="751" width="9.140625" style="51"/>
    <col min="752" max="752" width="5.7109375" style="51" customWidth="1"/>
    <col min="753" max="753" width="6.85546875" style="51" customWidth="1"/>
    <col min="754" max="754" width="50.140625" style="51" customWidth="1"/>
    <col min="755" max="756" width="11.42578125" style="51" customWidth="1"/>
    <col min="757" max="760" width="0" style="51" hidden="1" customWidth="1"/>
    <col min="761" max="761" width="13.140625" style="51" customWidth="1"/>
    <col min="762" max="762" width="12.42578125" style="51" customWidth="1"/>
    <col min="763" max="763" width="12.28515625" style="51" customWidth="1"/>
    <col min="764" max="766" width="0" style="51" hidden="1" customWidth="1"/>
    <col min="767" max="767" width="12.7109375" style="51" customWidth="1"/>
    <col min="768" max="768" width="12.42578125" style="51" customWidth="1"/>
    <col min="769" max="769" width="13.28515625" style="51" customWidth="1"/>
    <col min="770" max="770" width="12.42578125" style="51" customWidth="1"/>
    <col min="771" max="771" width="11.7109375" style="51" customWidth="1"/>
    <col min="772" max="772" width="11.42578125" style="51" customWidth="1"/>
    <col min="773" max="773" width="11.5703125" style="51" bestFit="1" customWidth="1"/>
    <col min="774" max="774" width="11.85546875" style="51" customWidth="1"/>
    <col min="775" max="775" width="12" style="51" customWidth="1"/>
    <col min="776" max="1007" width="9.140625" style="51"/>
    <col min="1008" max="1008" width="5.7109375" style="51" customWidth="1"/>
    <col min="1009" max="1009" width="6.85546875" style="51" customWidth="1"/>
    <col min="1010" max="1010" width="50.140625" style="51" customWidth="1"/>
    <col min="1011" max="1012" width="11.42578125" style="51" customWidth="1"/>
    <col min="1013" max="1016" width="0" style="51" hidden="1" customWidth="1"/>
    <col min="1017" max="1017" width="13.140625" style="51" customWidth="1"/>
    <col min="1018" max="1018" width="12.42578125" style="51" customWidth="1"/>
    <col min="1019" max="1019" width="12.28515625" style="51" customWidth="1"/>
    <col min="1020" max="1022" width="0" style="51" hidden="1" customWidth="1"/>
    <col min="1023" max="1023" width="12.7109375" style="51" customWidth="1"/>
    <col min="1024" max="1024" width="12.42578125" style="51" customWidth="1"/>
    <col min="1025" max="1025" width="13.28515625" style="51" customWidth="1"/>
    <col min="1026" max="1026" width="12.42578125" style="51" customWidth="1"/>
    <col min="1027" max="1027" width="11.7109375" style="51" customWidth="1"/>
    <col min="1028" max="1028" width="11.42578125" style="51" customWidth="1"/>
    <col min="1029" max="1029" width="11.5703125" style="51" bestFit="1" customWidth="1"/>
    <col min="1030" max="1030" width="11.85546875" style="51" customWidth="1"/>
    <col min="1031" max="1031" width="12" style="51" customWidth="1"/>
    <col min="1032" max="1263" width="9.140625" style="51"/>
    <col min="1264" max="1264" width="5.7109375" style="51" customWidth="1"/>
    <col min="1265" max="1265" width="6.85546875" style="51" customWidth="1"/>
    <col min="1266" max="1266" width="50.140625" style="51" customWidth="1"/>
    <col min="1267" max="1268" width="11.42578125" style="51" customWidth="1"/>
    <col min="1269" max="1272" width="0" style="51" hidden="1" customWidth="1"/>
    <col min="1273" max="1273" width="13.140625" style="51" customWidth="1"/>
    <col min="1274" max="1274" width="12.42578125" style="51" customWidth="1"/>
    <col min="1275" max="1275" width="12.28515625" style="51" customWidth="1"/>
    <col min="1276" max="1278" width="0" style="51" hidden="1" customWidth="1"/>
    <col min="1279" max="1279" width="12.7109375" style="51" customWidth="1"/>
    <col min="1280" max="1280" width="12.42578125" style="51" customWidth="1"/>
    <col min="1281" max="1281" width="13.28515625" style="51" customWidth="1"/>
    <col min="1282" max="1282" width="12.42578125" style="51" customWidth="1"/>
    <col min="1283" max="1283" width="11.7109375" style="51" customWidth="1"/>
    <col min="1284" max="1284" width="11.42578125" style="51" customWidth="1"/>
    <col min="1285" max="1285" width="11.5703125" style="51" bestFit="1" customWidth="1"/>
    <col min="1286" max="1286" width="11.85546875" style="51" customWidth="1"/>
    <col min="1287" max="1287" width="12" style="51" customWidth="1"/>
    <col min="1288" max="1519" width="9.140625" style="51"/>
    <col min="1520" max="1520" width="5.7109375" style="51" customWidth="1"/>
    <col min="1521" max="1521" width="6.85546875" style="51" customWidth="1"/>
    <col min="1522" max="1522" width="50.140625" style="51" customWidth="1"/>
    <col min="1523" max="1524" width="11.42578125" style="51" customWidth="1"/>
    <col min="1525" max="1528" width="0" style="51" hidden="1" customWidth="1"/>
    <col min="1529" max="1529" width="13.140625" style="51" customWidth="1"/>
    <col min="1530" max="1530" width="12.42578125" style="51" customWidth="1"/>
    <col min="1531" max="1531" width="12.28515625" style="51" customWidth="1"/>
    <col min="1532" max="1534" width="0" style="51" hidden="1" customWidth="1"/>
    <col min="1535" max="1535" width="12.7109375" style="51" customWidth="1"/>
    <col min="1536" max="1536" width="12.42578125" style="51" customWidth="1"/>
    <col min="1537" max="1537" width="13.28515625" style="51" customWidth="1"/>
    <col min="1538" max="1538" width="12.42578125" style="51" customWidth="1"/>
    <col min="1539" max="1539" width="11.7109375" style="51" customWidth="1"/>
    <col min="1540" max="1540" width="11.42578125" style="51" customWidth="1"/>
    <col min="1541" max="1541" width="11.5703125" style="51" bestFit="1" customWidth="1"/>
    <col min="1542" max="1542" width="11.85546875" style="51" customWidth="1"/>
    <col min="1543" max="1543" width="12" style="51" customWidth="1"/>
    <col min="1544" max="1775" width="9.140625" style="51"/>
    <col min="1776" max="1776" width="5.7109375" style="51" customWidth="1"/>
    <col min="1777" max="1777" width="6.85546875" style="51" customWidth="1"/>
    <col min="1778" max="1778" width="50.140625" style="51" customWidth="1"/>
    <col min="1779" max="1780" width="11.42578125" style="51" customWidth="1"/>
    <col min="1781" max="1784" width="0" style="51" hidden="1" customWidth="1"/>
    <col min="1785" max="1785" width="13.140625" style="51" customWidth="1"/>
    <col min="1786" max="1786" width="12.42578125" style="51" customWidth="1"/>
    <col min="1787" max="1787" width="12.28515625" style="51" customWidth="1"/>
    <col min="1788" max="1790" width="0" style="51" hidden="1" customWidth="1"/>
    <col min="1791" max="1791" width="12.7109375" style="51" customWidth="1"/>
    <col min="1792" max="1792" width="12.42578125" style="51" customWidth="1"/>
    <col min="1793" max="1793" width="13.28515625" style="51" customWidth="1"/>
    <col min="1794" max="1794" width="12.42578125" style="51" customWidth="1"/>
    <col min="1795" max="1795" width="11.7109375" style="51" customWidth="1"/>
    <col min="1796" max="1796" width="11.42578125" style="51" customWidth="1"/>
    <col min="1797" max="1797" width="11.5703125" style="51" bestFit="1" customWidth="1"/>
    <col min="1798" max="1798" width="11.85546875" style="51" customWidth="1"/>
    <col min="1799" max="1799" width="12" style="51" customWidth="1"/>
    <col min="1800" max="2031" width="9.140625" style="51"/>
    <col min="2032" max="2032" width="5.7109375" style="51" customWidth="1"/>
    <col min="2033" max="2033" width="6.85546875" style="51" customWidth="1"/>
    <col min="2034" max="2034" width="50.140625" style="51" customWidth="1"/>
    <col min="2035" max="2036" width="11.42578125" style="51" customWidth="1"/>
    <col min="2037" max="2040" width="0" style="51" hidden="1" customWidth="1"/>
    <col min="2041" max="2041" width="13.140625" style="51" customWidth="1"/>
    <col min="2042" max="2042" width="12.42578125" style="51" customWidth="1"/>
    <col min="2043" max="2043" width="12.28515625" style="51" customWidth="1"/>
    <col min="2044" max="2046" width="0" style="51" hidden="1" customWidth="1"/>
    <col min="2047" max="2047" width="12.7109375" style="51" customWidth="1"/>
    <col min="2048" max="2048" width="12.42578125" style="51" customWidth="1"/>
    <col min="2049" max="2049" width="13.28515625" style="51" customWidth="1"/>
    <col min="2050" max="2050" width="12.42578125" style="51" customWidth="1"/>
    <col min="2051" max="2051" width="11.7109375" style="51" customWidth="1"/>
    <col min="2052" max="2052" width="11.42578125" style="51" customWidth="1"/>
    <col min="2053" max="2053" width="11.5703125" style="51" bestFit="1" customWidth="1"/>
    <col min="2054" max="2054" width="11.85546875" style="51" customWidth="1"/>
    <col min="2055" max="2055" width="12" style="51" customWidth="1"/>
    <col min="2056" max="2287" width="9.140625" style="51"/>
    <col min="2288" max="2288" width="5.7109375" style="51" customWidth="1"/>
    <col min="2289" max="2289" width="6.85546875" style="51" customWidth="1"/>
    <col min="2290" max="2290" width="50.140625" style="51" customWidth="1"/>
    <col min="2291" max="2292" width="11.42578125" style="51" customWidth="1"/>
    <col min="2293" max="2296" width="0" style="51" hidden="1" customWidth="1"/>
    <col min="2297" max="2297" width="13.140625" style="51" customWidth="1"/>
    <col min="2298" max="2298" width="12.42578125" style="51" customWidth="1"/>
    <col min="2299" max="2299" width="12.28515625" style="51" customWidth="1"/>
    <col min="2300" max="2302" width="0" style="51" hidden="1" customWidth="1"/>
    <col min="2303" max="2303" width="12.7109375" style="51" customWidth="1"/>
    <col min="2304" max="2304" width="12.42578125" style="51" customWidth="1"/>
    <col min="2305" max="2305" width="13.28515625" style="51" customWidth="1"/>
    <col min="2306" max="2306" width="12.42578125" style="51" customWidth="1"/>
    <col min="2307" max="2307" width="11.7109375" style="51" customWidth="1"/>
    <col min="2308" max="2308" width="11.42578125" style="51" customWidth="1"/>
    <col min="2309" max="2309" width="11.5703125" style="51" bestFit="1" customWidth="1"/>
    <col min="2310" max="2310" width="11.85546875" style="51" customWidth="1"/>
    <col min="2311" max="2311" width="12" style="51" customWidth="1"/>
    <col min="2312" max="2543" width="9.140625" style="51"/>
    <col min="2544" max="2544" width="5.7109375" style="51" customWidth="1"/>
    <col min="2545" max="2545" width="6.85546875" style="51" customWidth="1"/>
    <col min="2546" max="2546" width="50.140625" style="51" customWidth="1"/>
    <col min="2547" max="2548" width="11.42578125" style="51" customWidth="1"/>
    <col min="2549" max="2552" width="0" style="51" hidden="1" customWidth="1"/>
    <col min="2553" max="2553" width="13.140625" style="51" customWidth="1"/>
    <col min="2554" max="2554" width="12.42578125" style="51" customWidth="1"/>
    <col min="2555" max="2555" width="12.28515625" style="51" customWidth="1"/>
    <col min="2556" max="2558" width="0" style="51" hidden="1" customWidth="1"/>
    <col min="2559" max="2559" width="12.7109375" style="51" customWidth="1"/>
    <col min="2560" max="2560" width="12.42578125" style="51" customWidth="1"/>
    <col min="2561" max="2561" width="13.28515625" style="51" customWidth="1"/>
    <col min="2562" max="2562" width="12.42578125" style="51" customWidth="1"/>
    <col min="2563" max="2563" width="11.7109375" style="51" customWidth="1"/>
    <col min="2564" max="2564" width="11.42578125" style="51" customWidth="1"/>
    <col min="2565" max="2565" width="11.5703125" style="51" bestFit="1" customWidth="1"/>
    <col min="2566" max="2566" width="11.85546875" style="51" customWidth="1"/>
    <col min="2567" max="2567" width="12" style="51" customWidth="1"/>
    <col min="2568" max="2799" width="9.140625" style="51"/>
    <col min="2800" max="2800" width="5.7109375" style="51" customWidth="1"/>
    <col min="2801" max="2801" width="6.85546875" style="51" customWidth="1"/>
    <col min="2802" max="2802" width="50.140625" style="51" customWidth="1"/>
    <col min="2803" max="2804" width="11.42578125" style="51" customWidth="1"/>
    <col min="2805" max="2808" width="0" style="51" hidden="1" customWidth="1"/>
    <col min="2809" max="2809" width="13.140625" style="51" customWidth="1"/>
    <col min="2810" max="2810" width="12.42578125" style="51" customWidth="1"/>
    <col min="2811" max="2811" width="12.28515625" style="51" customWidth="1"/>
    <col min="2812" max="2814" width="0" style="51" hidden="1" customWidth="1"/>
    <col min="2815" max="2815" width="12.7109375" style="51" customWidth="1"/>
    <col min="2816" max="2816" width="12.42578125" style="51" customWidth="1"/>
    <col min="2817" max="2817" width="13.28515625" style="51" customWidth="1"/>
    <col min="2818" max="2818" width="12.42578125" style="51" customWidth="1"/>
    <col min="2819" max="2819" width="11.7109375" style="51" customWidth="1"/>
    <col min="2820" max="2820" width="11.42578125" style="51" customWidth="1"/>
    <col min="2821" max="2821" width="11.5703125" style="51" bestFit="1" customWidth="1"/>
    <col min="2822" max="2822" width="11.85546875" style="51" customWidth="1"/>
    <col min="2823" max="2823" width="12" style="51" customWidth="1"/>
    <col min="2824" max="3055" width="9.140625" style="51"/>
    <col min="3056" max="3056" width="5.7109375" style="51" customWidth="1"/>
    <col min="3057" max="3057" width="6.85546875" style="51" customWidth="1"/>
    <col min="3058" max="3058" width="50.140625" style="51" customWidth="1"/>
    <col min="3059" max="3060" width="11.42578125" style="51" customWidth="1"/>
    <col min="3061" max="3064" width="0" style="51" hidden="1" customWidth="1"/>
    <col min="3065" max="3065" width="13.140625" style="51" customWidth="1"/>
    <col min="3066" max="3066" width="12.42578125" style="51" customWidth="1"/>
    <col min="3067" max="3067" width="12.28515625" style="51" customWidth="1"/>
    <col min="3068" max="3070" width="0" style="51" hidden="1" customWidth="1"/>
    <col min="3071" max="3071" width="12.7109375" style="51" customWidth="1"/>
    <col min="3072" max="3072" width="12.42578125" style="51" customWidth="1"/>
    <col min="3073" max="3073" width="13.28515625" style="51" customWidth="1"/>
    <col min="3074" max="3074" width="12.42578125" style="51" customWidth="1"/>
    <col min="3075" max="3075" width="11.7109375" style="51" customWidth="1"/>
    <col min="3076" max="3076" width="11.42578125" style="51" customWidth="1"/>
    <col min="3077" max="3077" width="11.5703125" style="51" bestFit="1" customWidth="1"/>
    <col min="3078" max="3078" width="11.85546875" style="51" customWidth="1"/>
    <col min="3079" max="3079" width="12" style="51" customWidth="1"/>
    <col min="3080" max="3311" width="9.140625" style="51"/>
    <col min="3312" max="3312" width="5.7109375" style="51" customWidth="1"/>
    <col min="3313" max="3313" width="6.85546875" style="51" customWidth="1"/>
    <col min="3314" max="3314" width="50.140625" style="51" customWidth="1"/>
    <col min="3315" max="3316" width="11.42578125" style="51" customWidth="1"/>
    <col min="3317" max="3320" width="0" style="51" hidden="1" customWidth="1"/>
    <col min="3321" max="3321" width="13.140625" style="51" customWidth="1"/>
    <col min="3322" max="3322" width="12.42578125" style="51" customWidth="1"/>
    <col min="3323" max="3323" width="12.28515625" style="51" customWidth="1"/>
    <col min="3324" max="3326" width="0" style="51" hidden="1" customWidth="1"/>
    <col min="3327" max="3327" width="12.7109375" style="51" customWidth="1"/>
    <col min="3328" max="3328" width="12.42578125" style="51" customWidth="1"/>
    <col min="3329" max="3329" width="13.28515625" style="51" customWidth="1"/>
    <col min="3330" max="3330" width="12.42578125" style="51" customWidth="1"/>
    <col min="3331" max="3331" width="11.7109375" style="51" customWidth="1"/>
    <col min="3332" max="3332" width="11.42578125" style="51" customWidth="1"/>
    <col min="3333" max="3333" width="11.5703125" style="51" bestFit="1" customWidth="1"/>
    <col min="3334" max="3334" width="11.85546875" style="51" customWidth="1"/>
    <col min="3335" max="3335" width="12" style="51" customWidth="1"/>
    <col min="3336" max="3567" width="9.140625" style="51"/>
    <col min="3568" max="3568" width="5.7109375" style="51" customWidth="1"/>
    <col min="3569" max="3569" width="6.85546875" style="51" customWidth="1"/>
    <col min="3570" max="3570" width="50.140625" style="51" customWidth="1"/>
    <col min="3571" max="3572" width="11.42578125" style="51" customWidth="1"/>
    <col min="3573" max="3576" width="0" style="51" hidden="1" customWidth="1"/>
    <col min="3577" max="3577" width="13.140625" style="51" customWidth="1"/>
    <col min="3578" max="3578" width="12.42578125" style="51" customWidth="1"/>
    <col min="3579" max="3579" width="12.28515625" style="51" customWidth="1"/>
    <col min="3580" max="3582" width="0" style="51" hidden="1" customWidth="1"/>
    <col min="3583" max="3583" width="12.7109375" style="51" customWidth="1"/>
    <col min="3584" max="3584" width="12.42578125" style="51" customWidth="1"/>
    <col min="3585" max="3585" width="13.28515625" style="51" customWidth="1"/>
    <col min="3586" max="3586" width="12.42578125" style="51" customWidth="1"/>
    <col min="3587" max="3587" width="11.7109375" style="51" customWidth="1"/>
    <col min="3588" max="3588" width="11.42578125" style="51" customWidth="1"/>
    <col min="3589" max="3589" width="11.5703125" style="51" bestFit="1" customWidth="1"/>
    <col min="3590" max="3590" width="11.85546875" style="51" customWidth="1"/>
    <col min="3591" max="3591" width="12" style="51" customWidth="1"/>
    <col min="3592" max="3823" width="9.140625" style="51"/>
    <col min="3824" max="3824" width="5.7109375" style="51" customWidth="1"/>
    <col min="3825" max="3825" width="6.85546875" style="51" customWidth="1"/>
    <col min="3826" max="3826" width="50.140625" style="51" customWidth="1"/>
    <col min="3827" max="3828" width="11.42578125" style="51" customWidth="1"/>
    <col min="3829" max="3832" width="0" style="51" hidden="1" customWidth="1"/>
    <col min="3833" max="3833" width="13.140625" style="51" customWidth="1"/>
    <col min="3834" max="3834" width="12.42578125" style="51" customWidth="1"/>
    <col min="3835" max="3835" width="12.28515625" style="51" customWidth="1"/>
    <col min="3836" max="3838" width="0" style="51" hidden="1" customWidth="1"/>
    <col min="3839" max="3839" width="12.7109375" style="51" customWidth="1"/>
    <col min="3840" max="3840" width="12.42578125" style="51" customWidth="1"/>
    <col min="3841" max="3841" width="13.28515625" style="51" customWidth="1"/>
    <col min="3842" max="3842" width="12.42578125" style="51" customWidth="1"/>
    <col min="3843" max="3843" width="11.7109375" style="51" customWidth="1"/>
    <col min="3844" max="3844" width="11.42578125" style="51" customWidth="1"/>
    <col min="3845" max="3845" width="11.5703125" style="51" bestFit="1" customWidth="1"/>
    <col min="3846" max="3846" width="11.85546875" style="51" customWidth="1"/>
    <col min="3847" max="3847" width="12" style="51" customWidth="1"/>
    <col min="3848" max="4079" width="9.140625" style="51"/>
    <col min="4080" max="4080" width="5.7109375" style="51" customWidth="1"/>
    <col min="4081" max="4081" width="6.85546875" style="51" customWidth="1"/>
    <col min="4082" max="4082" width="50.140625" style="51" customWidth="1"/>
    <col min="4083" max="4084" width="11.42578125" style="51" customWidth="1"/>
    <col min="4085" max="4088" width="0" style="51" hidden="1" customWidth="1"/>
    <col min="4089" max="4089" width="13.140625" style="51" customWidth="1"/>
    <col min="4090" max="4090" width="12.42578125" style="51" customWidth="1"/>
    <col min="4091" max="4091" width="12.28515625" style="51" customWidth="1"/>
    <col min="4092" max="4094" width="0" style="51" hidden="1" customWidth="1"/>
    <col min="4095" max="4095" width="12.7109375" style="51" customWidth="1"/>
    <col min="4096" max="4096" width="12.42578125" style="51" customWidth="1"/>
    <col min="4097" max="4097" width="13.28515625" style="51" customWidth="1"/>
    <col min="4098" max="4098" width="12.42578125" style="51" customWidth="1"/>
    <col min="4099" max="4099" width="11.7109375" style="51" customWidth="1"/>
    <col min="4100" max="4100" width="11.42578125" style="51" customWidth="1"/>
    <col min="4101" max="4101" width="11.5703125" style="51" bestFit="1" customWidth="1"/>
    <col min="4102" max="4102" width="11.85546875" style="51" customWidth="1"/>
    <col min="4103" max="4103" width="12" style="51" customWidth="1"/>
    <col min="4104" max="4335" width="9.140625" style="51"/>
    <col min="4336" max="4336" width="5.7109375" style="51" customWidth="1"/>
    <col min="4337" max="4337" width="6.85546875" style="51" customWidth="1"/>
    <col min="4338" max="4338" width="50.140625" style="51" customWidth="1"/>
    <col min="4339" max="4340" width="11.42578125" style="51" customWidth="1"/>
    <col min="4341" max="4344" width="0" style="51" hidden="1" customWidth="1"/>
    <col min="4345" max="4345" width="13.140625" style="51" customWidth="1"/>
    <col min="4346" max="4346" width="12.42578125" style="51" customWidth="1"/>
    <col min="4347" max="4347" width="12.28515625" style="51" customWidth="1"/>
    <col min="4348" max="4350" width="0" style="51" hidden="1" customWidth="1"/>
    <col min="4351" max="4351" width="12.7109375" style="51" customWidth="1"/>
    <col min="4352" max="4352" width="12.42578125" style="51" customWidth="1"/>
    <col min="4353" max="4353" width="13.28515625" style="51" customWidth="1"/>
    <col min="4354" max="4354" width="12.42578125" style="51" customWidth="1"/>
    <col min="4355" max="4355" width="11.7109375" style="51" customWidth="1"/>
    <col min="4356" max="4356" width="11.42578125" style="51" customWidth="1"/>
    <col min="4357" max="4357" width="11.5703125" style="51" bestFit="1" customWidth="1"/>
    <col min="4358" max="4358" width="11.85546875" style="51" customWidth="1"/>
    <col min="4359" max="4359" width="12" style="51" customWidth="1"/>
    <col min="4360" max="4591" width="9.140625" style="51"/>
    <col min="4592" max="4592" width="5.7109375" style="51" customWidth="1"/>
    <col min="4593" max="4593" width="6.85546875" style="51" customWidth="1"/>
    <col min="4594" max="4594" width="50.140625" style="51" customWidth="1"/>
    <col min="4595" max="4596" width="11.42578125" style="51" customWidth="1"/>
    <col min="4597" max="4600" width="0" style="51" hidden="1" customWidth="1"/>
    <col min="4601" max="4601" width="13.140625" style="51" customWidth="1"/>
    <col min="4602" max="4602" width="12.42578125" style="51" customWidth="1"/>
    <col min="4603" max="4603" width="12.28515625" style="51" customWidth="1"/>
    <col min="4604" max="4606" width="0" style="51" hidden="1" customWidth="1"/>
    <col min="4607" max="4607" width="12.7109375" style="51" customWidth="1"/>
    <col min="4608" max="4608" width="12.42578125" style="51" customWidth="1"/>
    <col min="4609" max="4609" width="13.28515625" style="51" customWidth="1"/>
    <col min="4610" max="4610" width="12.42578125" style="51" customWidth="1"/>
    <col min="4611" max="4611" width="11.7109375" style="51" customWidth="1"/>
    <col min="4612" max="4612" width="11.42578125" style="51" customWidth="1"/>
    <col min="4613" max="4613" width="11.5703125" style="51" bestFit="1" customWidth="1"/>
    <col min="4614" max="4614" width="11.85546875" style="51" customWidth="1"/>
    <col min="4615" max="4615" width="12" style="51" customWidth="1"/>
    <col min="4616" max="4847" width="9.140625" style="51"/>
    <col min="4848" max="4848" width="5.7109375" style="51" customWidth="1"/>
    <col min="4849" max="4849" width="6.85546875" style="51" customWidth="1"/>
    <col min="4850" max="4850" width="50.140625" style="51" customWidth="1"/>
    <col min="4851" max="4852" width="11.42578125" style="51" customWidth="1"/>
    <col min="4853" max="4856" width="0" style="51" hidden="1" customWidth="1"/>
    <col min="4857" max="4857" width="13.140625" style="51" customWidth="1"/>
    <col min="4858" max="4858" width="12.42578125" style="51" customWidth="1"/>
    <col min="4859" max="4859" width="12.28515625" style="51" customWidth="1"/>
    <col min="4860" max="4862" width="0" style="51" hidden="1" customWidth="1"/>
    <col min="4863" max="4863" width="12.7109375" style="51" customWidth="1"/>
    <col min="4864" max="4864" width="12.42578125" style="51" customWidth="1"/>
    <col min="4865" max="4865" width="13.28515625" style="51" customWidth="1"/>
    <col min="4866" max="4866" width="12.42578125" style="51" customWidth="1"/>
    <col min="4867" max="4867" width="11.7109375" style="51" customWidth="1"/>
    <col min="4868" max="4868" width="11.42578125" style="51" customWidth="1"/>
    <col min="4869" max="4869" width="11.5703125" style="51" bestFit="1" customWidth="1"/>
    <col min="4870" max="4870" width="11.85546875" style="51" customWidth="1"/>
    <col min="4871" max="4871" width="12" style="51" customWidth="1"/>
    <col min="4872" max="5103" width="9.140625" style="51"/>
    <col min="5104" max="5104" width="5.7109375" style="51" customWidth="1"/>
    <col min="5105" max="5105" width="6.85546875" style="51" customWidth="1"/>
    <col min="5106" max="5106" width="50.140625" style="51" customWidth="1"/>
    <col min="5107" max="5108" width="11.42578125" style="51" customWidth="1"/>
    <col min="5109" max="5112" width="0" style="51" hidden="1" customWidth="1"/>
    <col min="5113" max="5113" width="13.140625" style="51" customWidth="1"/>
    <col min="5114" max="5114" width="12.42578125" style="51" customWidth="1"/>
    <col min="5115" max="5115" width="12.28515625" style="51" customWidth="1"/>
    <col min="5116" max="5118" width="0" style="51" hidden="1" customWidth="1"/>
    <col min="5119" max="5119" width="12.7109375" style="51" customWidth="1"/>
    <col min="5120" max="5120" width="12.42578125" style="51" customWidth="1"/>
    <col min="5121" max="5121" width="13.28515625" style="51" customWidth="1"/>
    <col min="5122" max="5122" width="12.42578125" style="51" customWidth="1"/>
    <col min="5123" max="5123" width="11.7109375" style="51" customWidth="1"/>
    <col min="5124" max="5124" width="11.42578125" style="51" customWidth="1"/>
    <col min="5125" max="5125" width="11.5703125" style="51" bestFit="1" customWidth="1"/>
    <col min="5126" max="5126" width="11.85546875" style="51" customWidth="1"/>
    <col min="5127" max="5127" width="12" style="51" customWidth="1"/>
    <col min="5128" max="5359" width="9.140625" style="51"/>
    <col min="5360" max="5360" width="5.7109375" style="51" customWidth="1"/>
    <col min="5361" max="5361" width="6.85546875" style="51" customWidth="1"/>
    <col min="5362" max="5362" width="50.140625" style="51" customWidth="1"/>
    <col min="5363" max="5364" width="11.42578125" style="51" customWidth="1"/>
    <col min="5365" max="5368" width="0" style="51" hidden="1" customWidth="1"/>
    <col min="5369" max="5369" width="13.140625" style="51" customWidth="1"/>
    <col min="5370" max="5370" width="12.42578125" style="51" customWidth="1"/>
    <col min="5371" max="5371" width="12.28515625" style="51" customWidth="1"/>
    <col min="5372" max="5374" width="0" style="51" hidden="1" customWidth="1"/>
    <col min="5375" max="5375" width="12.7109375" style="51" customWidth="1"/>
    <col min="5376" max="5376" width="12.42578125" style="51" customWidth="1"/>
    <col min="5377" max="5377" width="13.28515625" style="51" customWidth="1"/>
    <col min="5378" max="5378" width="12.42578125" style="51" customWidth="1"/>
    <col min="5379" max="5379" width="11.7109375" style="51" customWidth="1"/>
    <col min="5380" max="5380" width="11.42578125" style="51" customWidth="1"/>
    <col min="5381" max="5381" width="11.5703125" style="51" bestFit="1" customWidth="1"/>
    <col min="5382" max="5382" width="11.85546875" style="51" customWidth="1"/>
    <col min="5383" max="5383" width="12" style="51" customWidth="1"/>
    <col min="5384" max="5615" width="9.140625" style="51"/>
    <col min="5616" max="5616" width="5.7109375" style="51" customWidth="1"/>
    <col min="5617" max="5617" width="6.85546875" style="51" customWidth="1"/>
    <col min="5618" max="5618" width="50.140625" style="51" customWidth="1"/>
    <col min="5619" max="5620" width="11.42578125" style="51" customWidth="1"/>
    <col min="5621" max="5624" width="0" style="51" hidden="1" customWidth="1"/>
    <col min="5625" max="5625" width="13.140625" style="51" customWidth="1"/>
    <col min="5626" max="5626" width="12.42578125" style="51" customWidth="1"/>
    <col min="5627" max="5627" width="12.28515625" style="51" customWidth="1"/>
    <col min="5628" max="5630" width="0" style="51" hidden="1" customWidth="1"/>
    <col min="5631" max="5631" width="12.7109375" style="51" customWidth="1"/>
    <col min="5632" max="5632" width="12.42578125" style="51" customWidth="1"/>
    <col min="5633" max="5633" width="13.28515625" style="51" customWidth="1"/>
    <col min="5634" max="5634" width="12.42578125" style="51" customWidth="1"/>
    <col min="5635" max="5635" width="11.7109375" style="51" customWidth="1"/>
    <col min="5636" max="5636" width="11.42578125" style="51" customWidth="1"/>
    <col min="5637" max="5637" width="11.5703125" style="51" bestFit="1" customWidth="1"/>
    <col min="5638" max="5638" width="11.85546875" style="51" customWidth="1"/>
    <col min="5639" max="5639" width="12" style="51" customWidth="1"/>
    <col min="5640" max="5871" width="9.140625" style="51"/>
    <col min="5872" max="5872" width="5.7109375" style="51" customWidth="1"/>
    <col min="5873" max="5873" width="6.85546875" style="51" customWidth="1"/>
    <col min="5874" max="5874" width="50.140625" style="51" customWidth="1"/>
    <col min="5875" max="5876" width="11.42578125" style="51" customWidth="1"/>
    <col min="5877" max="5880" width="0" style="51" hidden="1" customWidth="1"/>
    <col min="5881" max="5881" width="13.140625" style="51" customWidth="1"/>
    <col min="5882" max="5882" width="12.42578125" style="51" customWidth="1"/>
    <col min="5883" max="5883" width="12.28515625" style="51" customWidth="1"/>
    <col min="5884" max="5886" width="0" style="51" hidden="1" customWidth="1"/>
    <col min="5887" max="5887" width="12.7109375" style="51" customWidth="1"/>
    <col min="5888" max="5888" width="12.42578125" style="51" customWidth="1"/>
    <col min="5889" max="5889" width="13.28515625" style="51" customWidth="1"/>
    <col min="5890" max="5890" width="12.42578125" style="51" customWidth="1"/>
    <col min="5891" max="5891" width="11.7109375" style="51" customWidth="1"/>
    <col min="5892" max="5892" width="11.42578125" style="51" customWidth="1"/>
    <col min="5893" max="5893" width="11.5703125" style="51" bestFit="1" customWidth="1"/>
    <col min="5894" max="5894" width="11.85546875" style="51" customWidth="1"/>
    <col min="5895" max="5895" width="12" style="51" customWidth="1"/>
    <col min="5896" max="6127" width="9.140625" style="51"/>
    <col min="6128" max="6128" width="5.7109375" style="51" customWidth="1"/>
    <col min="6129" max="6129" width="6.85546875" style="51" customWidth="1"/>
    <col min="6130" max="6130" width="50.140625" style="51" customWidth="1"/>
    <col min="6131" max="6132" width="11.42578125" style="51" customWidth="1"/>
    <col min="6133" max="6136" width="0" style="51" hidden="1" customWidth="1"/>
    <col min="6137" max="6137" width="13.140625" style="51" customWidth="1"/>
    <col min="6138" max="6138" width="12.42578125" style="51" customWidth="1"/>
    <col min="6139" max="6139" width="12.28515625" style="51" customWidth="1"/>
    <col min="6140" max="6142" width="0" style="51" hidden="1" customWidth="1"/>
    <col min="6143" max="6143" width="12.7109375" style="51" customWidth="1"/>
    <col min="6144" max="6144" width="12.42578125" style="51" customWidth="1"/>
    <col min="6145" max="6145" width="13.28515625" style="51" customWidth="1"/>
    <col min="6146" max="6146" width="12.42578125" style="51" customWidth="1"/>
    <col min="6147" max="6147" width="11.7109375" style="51" customWidth="1"/>
    <col min="6148" max="6148" width="11.42578125" style="51" customWidth="1"/>
    <col min="6149" max="6149" width="11.5703125" style="51" bestFit="1" customWidth="1"/>
    <col min="6150" max="6150" width="11.85546875" style="51" customWidth="1"/>
    <col min="6151" max="6151" width="12" style="51" customWidth="1"/>
    <col min="6152" max="6383" width="9.140625" style="51"/>
    <col min="6384" max="6384" width="5.7109375" style="51" customWidth="1"/>
    <col min="6385" max="6385" width="6.85546875" style="51" customWidth="1"/>
    <col min="6386" max="6386" width="50.140625" style="51" customWidth="1"/>
    <col min="6387" max="6388" width="11.42578125" style="51" customWidth="1"/>
    <col min="6389" max="6392" width="0" style="51" hidden="1" customWidth="1"/>
    <col min="6393" max="6393" width="13.140625" style="51" customWidth="1"/>
    <col min="6394" max="6394" width="12.42578125" style="51" customWidth="1"/>
    <col min="6395" max="6395" width="12.28515625" style="51" customWidth="1"/>
    <col min="6396" max="6398" width="0" style="51" hidden="1" customWidth="1"/>
    <col min="6399" max="6399" width="12.7109375" style="51" customWidth="1"/>
    <col min="6400" max="6400" width="12.42578125" style="51" customWidth="1"/>
    <col min="6401" max="6401" width="13.28515625" style="51" customWidth="1"/>
    <col min="6402" max="6402" width="12.42578125" style="51" customWidth="1"/>
    <col min="6403" max="6403" width="11.7109375" style="51" customWidth="1"/>
    <col min="6404" max="6404" width="11.42578125" style="51" customWidth="1"/>
    <col min="6405" max="6405" width="11.5703125" style="51" bestFit="1" customWidth="1"/>
    <col min="6406" max="6406" width="11.85546875" style="51" customWidth="1"/>
    <col min="6407" max="6407" width="12" style="51" customWidth="1"/>
    <col min="6408" max="6639" width="9.140625" style="51"/>
    <col min="6640" max="6640" width="5.7109375" style="51" customWidth="1"/>
    <col min="6641" max="6641" width="6.85546875" style="51" customWidth="1"/>
    <col min="6642" max="6642" width="50.140625" style="51" customWidth="1"/>
    <col min="6643" max="6644" width="11.42578125" style="51" customWidth="1"/>
    <col min="6645" max="6648" width="0" style="51" hidden="1" customWidth="1"/>
    <col min="6649" max="6649" width="13.140625" style="51" customWidth="1"/>
    <col min="6650" max="6650" width="12.42578125" style="51" customWidth="1"/>
    <col min="6651" max="6651" width="12.28515625" style="51" customWidth="1"/>
    <col min="6652" max="6654" width="0" style="51" hidden="1" customWidth="1"/>
    <col min="6655" max="6655" width="12.7109375" style="51" customWidth="1"/>
    <col min="6656" max="6656" width="12.42578125" style="51" customWidth="1"/>
    <col min="6657" max="6657" width="13.28515625" style="51" customWidth="1"/>
    <col min="6658" max="6658" width="12.42578125" style="51" customWidth="1"/>
    <col min="6659" max="6659" width="11.7109375" style="51" customWidth="1"/>
    <col min="6660" max="6660" width="11.42578125" style="51" customWidth="1"/>
    <col min="6661" max="6661" width="11.5703125" style="51" bestFit="1" customWidth="1"/>
    <col min="6662" max="6662" width="11.85546875" style="51" customWidth="1"/>
    <col min="6663" max="6663" width="12" style="51" customWidth="1"/>
    <col min="6664" max="6895" width="9.140625" style="51"/>
    <col min="6896" max="6896" width="5.7109375" style="51" customWidth="1"/>
    <col min="6897" max="6897" width="6.85546875" style="51" customWidth="1"/>
    <col min="6898" max="6898" width="50.140625" style="51" customWidth="1"/>
    <col min="6899" max="6900" width="11.42578125" style="51" customWidth="1"/>
    <col min="6901" max="6904" width="0" style="51" hidden="1" customWidth="1"/>
    <col min="6905" max="6905" width="13.140625" style="51" customWidth="1"/>
    <col min="6906" max="6906" width="12.42578125" style="51" customWidth="1"/>
    <col min="6907" max="6907" width="12.28515625" style="51" customWidth="1"/>
    <col min="6908" max="6910" width="0" style="51" hidden="1" customWidth="1"/>
    <col min="6911" max="6911" width="12.7109375" style="51" customWidth="1"/>
    <col min="6912" max="6912" width="12.42578125" style="51" customWidth="1"/>
    <col min="6913" max="6913" width="13.28515625" style="51" customWidth="1"/>
    <col min="6914" max="6914" width="12.42578125" style="51" customWidth="1"/>
    <col min="6915" max="6915" width="11.7109375" style="51" customWidth="1"/>
    <col min="6916" max="6916" width="11.42578125" style="51" customWidth="1"/>
    <col min="6917" max="6917" width="11.5703125" style="51" bestFit="1" customWidth="1"/>
    <col min="6918" max="6918" width="11.85546875" style="51" customWidth="1"/>
    <col min="6919" max="6919" width="12" style="51" customWidth="1"/>
    <col min="6920" max="7151" width="9.140625" style="51"/>
    <col min="7152" max="7152" width="5.7109375" style="51" customWidth="1"/>
    <col min="7153" max="7153" width="6.85546875" style="51" customWidth="1"/>
    <col min="7154" max="7154" width="50.140625" style="51" customWidth="1"/>
    <col min="7155" max="7156" width="11.42578125" style="51" customWidth="1"/>
    <col min="7157" max="7160" width="0" style="51" hidden="1" customWidth="1"/>
    <col min="7161" max="7161" width="13.140625" style="51" customWidth="1"/>
    <col min="7162" max="7162" width="12.42578125" style="51" customWidth="1"/>
    <col min="7163" max="7163" width="12.28515625" style="51" customWidth="1"/>
    <col min="7164" max="7166" width="0" style="51" hidden="1" customWidth="1"/>
    <col min="7167" max="7167" width="12.7109375" style="51" customWidth="1"/>
    <col min="7168" max="7168" width="12.42578125" style="51" customWidth="1"/>
    <col min="7169" max="7169" width="13.28515625" style="51" customWidth="1"/>
    <col min="7170" max="7170" width="12.42578125" style="51" customWidth="1"/>
    <col min="7171" max="7171" width="11.7109375" style="51" customWidth="1"/>
    <col min="7172" max="7172" width="11.42578125" style="51" customWidth="1"/>
    <col min="7173" max="7173" width="11.5703125" style="51" bestFit="1" customWidth="1"/>
    <col min="7174" max="7174" width="11.85546875" style="51" customWidth="1"/>
    <col min="7175" max="7175" width="12" style="51" customWidth="1"/>
    <col min="7176" max="7407" width="9.140625" style="51"/>
    <col min="7408" max="7408" width="5.7109375" style="51" customWidth="1"/>
    <col min="7409" max="7409" width="6.85546875" style="51" customWidth="1"/>
    <col min="7410" max="7410" width="50.140625" style="51" customWidth="1"/>
    <col min="7411" max="7412" width="11.42578125" style="51" customWidth="1"/>
    <col min="7413" max="7416" width="0" style="51" hidden="1" customWidth="1"/>
    <col min="7417" max="7417" width="13.140625" style="51" customWidth="1"/>
    <col min="7418" max="7418" width="12.42578125" style="51" customWidth="1"/>
    <col min="7419" max="7419" width="12.28515625" style="51" customWidth="1"/>
    <col min="7420" max="7422" width="0" style="51" hidden="1" customWidth="1"/>
    <col min="7423" max="7423" width="12.7109375" style="51" customWidth="1"/>
    <col min="7424" max="7424" width="12.42578125" style="51" customWidth="1"/>
    <col min="7425" max="7425" width="13.28515625" style="51" customWidth="1"/>
    <col min="7426" max="7426" width="12.42578125" style="51" customWidth="1"/>
    <col min="7427" max="7427" width="11.7109375" style="51" customWidth="1"/>
    <col min="7428" max="7428" width="11.42578125" style="51" customWidth="1"/>
    <col min="7429" max="7429" width="11.5703125" style="51" bestFit="1" customWidth="1"/>
    <col min="7430" max="7430" width="11.85546875" style="51" customWidth="1"/>
    <col min="7431" max="7431" width="12" style="51" customWidth="1"/>
    <col min="7432" max="7663" width="9.140625" style="51"/>
    <col min="7664" max="7664" width="5.7109375" style="51" customWidth="1"/>
    <col min="7665" max="7665" width="6.85546875" style="51" customWidth="1"/>
    <col min="7666" max="7666" width="50.140625" style="51" customWidth="1"/>
    <col min="7667" max="7668" width="11.42578125" style="51" customWidth="1"/>
    <col min="7669" max="7672" width="0" style="51" hidden="1" customWidth="1"/>
    <col min="7673" max="7673" width="13.140625" style="51" customWidth="1"/>
    <col min="7674" max="7674" width="12.42578125" style="51" customWidth="1"/>
    <col min="7675" max="7675" width="12.28515625" style="51" customWidth="1"/>
    <col min="7676" max="7678" width="0" style="51" hidden="1" customWidth="1"/>
    <col min="7679" max="7679" width="12.7109375" style="51" customWidth="1"/>
    <col min="7680" max="7680" width="12.42578125" style="51" customWidth="1"/>
    <col min="7681" max="7681" width="13.28515625" style="51" customWidth="1"/>
    <col min="7682" max="7682" width="12.42578125" style="51" customWidth="1"/>
    <col min="7683" max="7683" width="11.7109375" style="51" customWidth="1"/>
    <col min="7684" max="7684" width="11.42578125" style="51" customWidth="1"/>
    <col min="7685" max="7685" width="11.5703125" style="51" bestFit="1" customWidth="1"/>
    <col min="7686" max="7686" width="11.85546875" style="51" customWidth="1"/>
    <col min="7687" max="7687" width="12" style="51" customWidth="1"/>
    <col min="7688" max="7919" width="9.140625" style="51"/>
    <col min="7920" max="7920" width="5.7109375" style="51" customWidth="1"/>
    <col min="7921" max="7921" width="6.85546875" style="51" customWidth="1"/>
    <col min="7922" max="7922" width="50.140625" style="51" customWidth="1"/>
    <col min="7923" max="7924" width="11.42578125" style="51" customWidth="1"/>
    <col min="7925" max="7928" width="0" style="51" hidden="1" customWidth="1"/>
    <col min="7929" max="7929" width="13.140625" style="51" customWidth="1"/>
    <col min="7930" max="7930" width="12.42578125" style="51" customWidth="1"/>
    <col min="7931" max="7931" width="12.28515625" style="51" customWidth="1"/>
    <col min="7932" max="7934" width="0" style="51" hidden="1" customWidth="1"/>
    <col min="7935" max="7935" width="12.7109375" style="51" customWidth="1"/>
    <col min="7936" max="7936" width="12.42578125" style="51" customWidth="1"/>
    <col min="7937" max="7937" width="13.28515625" style="51" customWidth="1"/>
    <col min="7938" max="7938" width="12.42578125" style="51" customWidth="1"/>
    <col min="7939" max="7939" width="11.7109375" style="51" customWidth="1"/>
    <col min="7940" max="7940" width="11.42578125" style="51" customWidth="1"/>
    <col min="7941" max="7941" width="11.5703125" style="51" bestFit="1" customWidth="1"/>
    <col min="7942" max="7942" width="11.85546875" style="51" customWidth="1"/>
    <col min="7943" max="7943" width="12" style="51" customWidth="1"/>
    <col min="7944" max="8175" width="9.140625" style="51"/>
    <col min="8176" max="8176" width="5.7109375" style="51" customWidth="1"/>
    <col min="8177" max="8177" width="6.85546875" style="51" customWidth="1"/>
    <col min="8178" max="8178" width="50.140625" style="51" customWidth="1"/>
    <col min="8179" max="8180" width="11.42578125" style="51" customWidth="1"/>
    <col min="8181" max="8184" width="0" style="51" hidden="1" customWidth="1"/>
    <col min="8185" max="8185" width="13.140625" style="51" customWidth="1"/>
    <col min="8186" max="8186" width="12.42578125" style="51" customWidth="1"/>
    <col min="8187" max="8187" width="12.28515625" style="51" customWidth="1"/>
    <col min="8188" max="8190" width="0" style="51" hidden="1" customWidth="1"/>
    <col min="8191" max="8191" width="12.7109375" style="51" customWidth="1"/>
    <col min="8192" max="8192" width="12.42578125" style="51" customWidth="1"/>
    <col min="8193" max="8193" width="13.28515625" style="51" customWidth="1"/>
    <col min="8194" max="8194" width="12.42578125" style="51" customWidth="1"/>
    <col min="8195" max="8195" width="11.7109375" style="51" customWidth="1"/>
    <col min="8196" max="8196" width="11.42578125" style="51" customWidth="1"/>
    <col min="8197" max="8197" width="11.5703125" style="51" bestFit="1" customWidth="1"/>
    <col min="8198" max="8198" width="11.85546875" style="51" customWidth="1"/>
    <col min="8199" max="8199" width="12" style="51" customWidth="1"/>
    <col min="8200" max="8431" width="9.140625" style="51"/>
    <col min="8432" max="8432" width="5.7109375" style="51" customWidth="1"/>
    <col min="8433" max="8433" width="6.85546875" style="51" customWidth="1"/>
    <col min="8434" max="8434" width="50.140625" style="51" customWidth="1"/>
    <col min="8435" max="8436" width="11.42578125" style="51" customWidth="1"/>
    <col min="8437" max="8440" width="0" style="51" hidden="1" customWidth="1"/>
    <col min="8441" max="8441" width="13.140625" style="51" customWidth="1"/>
    <col min="8442" max="8442" width="12.42578125" style="51" customWidth="1"/>
    <col min="8443" max="8443" width="12.28515625" style="51" customWidth="1"/>
    <col min="8444" max="8446" width="0" style="51" hidden="1" customWidth="1"/>
    <col min="8447" max="8447" width="12.7109375" style="51" customWidth="1"/>
    <col min="8448" max="8448" width="12.42578125" style="51" customWidth="1"/>
    <col min="8449" max="8449" width="13.28515625" style="51" customWidth="1"/>
    <col min="8450" max="8450" width="12.42578125" style="51" customWidth="1"/>
    <col min="8451" max="8451" width="11.7109375" style="51" customWidth="1"/>
    <col min="8452" max="8452" width="11.42578125" style="51" customWidth="1"/>
    <col min="8453" max="8453" width="11.5703125" style="51" bestFit="1" customWidth="1"/>
    <col min="8454" max="8454" width="11.85546875" style="51" customWidth="1"/>
    <col min="8455" max="8455" width="12" style="51" customWidth="1"/>
    <col min="8456" max="8687" width="9.140625" style="51"/>
    <col min="8688" max="8688" width="5.7109375" style="51" customWidth="1"/>
    <col min="8689" max="8689" width="6.85546875" style="51" customWidth="1"/>
    <col min="8690" max="8690" width="50.140625" style="51" customWidth="1"/>
    <col min="8691" max="8692" width="11.42578125" style="51" customWidth="1"/>
    <col min="8693" max="8696" width="0" style="51" hidden="1" customWidth="1"/>
    <col min="8697" max="8697" width="13.140625" style="51" customWidth="1"/>
    <col min="8698" max="8698" width="12.42578125" style="51" customWidth="1"/>
    <col min="8699" max="8699" width="12.28515625" style="51" customWidth="1"/>
    <col min="8700" max="8702" width="0" style="51" hidden="1" customWidth="1"/>
    <col min="8703" max="8703" width="12.7109375" style="51" customWidth="1"/>
    <col min="8704" max="8704" width="12.42578125" style="51" customWidth="1"/>
    <col min="8705" max="8705" width="13.28515625" style="51" customWidth="1"/>
    <col min="8706" max="8706" width="12.42578125" style="51" customWidth="1"/>
    <col min="8707" max="8707" width="11.7109375" style="51" customWidth="1"/>
    <col min="8708" max="8708" width="11.42578125" style="51" customWidth="1"/>
    <col min="8709" max="8709" width="11.5703125" style="51" bestFit="1" customWidth="1"/>
    <col min="8710" max="8710" width="11.85546875" style="51" customWidth="1"/>
    <col min="8711" max="8711" width="12" style="51" customWidth="1"/>
    <col min="8712" max="8943" width="9.140625" style="51"/>
    <col min="8944" max="8944" width="5.7109375" style="51" customWidth="1"/>
    <col min="8945" max="8945" width="6.85546875" style="51" customWidth="1"/>
    <col min="8946" max="8946" width="50.140625" style="51" customWidth="1"/>
    <col min="8947" max="8948" width="11.42578125" style="51" customWidth="1"/>
    <col min="8949" max="8952" width="0" style="51" hidden="1" customWidth="1"/>
    <col min="8953" max="8953" width="13.140625" style="51" customWidth="1"/>
    <col min="8954" max="8954" width="12.42578125" style="51" customWidth="1"/>
    <col min="8955" max="8955" width="12.28515625" style="51" customWidth="1"/>
    <col min="8956" max="8958" width="0" style="51" hidden="1" customWidth="1"/>
    <col min="8959" max="8959" width="12.7109375" style="51" customWidth="1"/>
    <col min="8960" max="8960" width="12.42578125" style="51" customWidth="1"/>
    <col min="8961" max="8961" width="13.28515625" style="51" customWidth="1"/>
    <col min="8962" max="8962" width="12.42578125" style="51" customWidth="1"/>
    <col min="8963" max="8963" width="11.7109375" style="51" customWidth="1"/>
    <col min="8964" max="8964" width="11.42578125" style="51" customWidth="1"/>
    <col min="8965" max="8965" width="11.5703125" style="51" bestFit="1" customWidth="1"/>
    <col min="8966" max="8966" width="11.85546875" style="51" customWidth="1"/>
    <col min="8967" max="8967" width="12" style="51" customWidth="1"/>
    <col min="8968" max="9199" width="9.140625" style="51"/>
    <col min="9200" max="9200" width="5.7109375" style="51" customWidth="1"/>
    <col min="9201" max="9201" width="6.85546875" style="51" customWidth="1"/>
    <col min="9202" max="9202" width="50.140625" style="51" customWidth="1"/>
    <col min="9203" max="9204" width="11.42578125" style="51" customWidth="1"/>
    <col min="9205" max="9208" width="0" style="51" hidden="1" customWidth="1"/>
    <col min="9209" max="9209" width="13.140625" style="51" customWidth="1"/>
    <col min="9210" max="9210" width="12.42578125" style="51" customWidth="1"/>
    <col min="9211" max="9211" width="12.28515625" style="51" customWidth="1"/>
    <col min="9212" max="9214" width="0" style="51" hidden="1" customWidth="1"/>
    <col min="9215" max="9215" width="12.7109375" style="51" customWidth="1"/>
    <col min="9216" max="9216" width="12.42578125" style="51" customWidth="1"/>
    <col min="9217" max="9217" width="13.28515625" style="51" customWidth="1"/>
    <col min="9218" max="9218" width="12.42578125" style="51" customWidth="1"/>
    <col min="9219" max="9219" width="11.7109375" style="51" customWidth="1"/>
    <col min="9220" max="9220" width="11.42578125" style="51" customWidth="1"/>
    <col min="9221" max="9221" width="11.5703125" style="51" bestFit="1" customWidth="1"/>
    <col min="9222" max="9222" width="11.85546875" style="51" customWidth="1"/>
    <col min="9223" max="9223" width="12" style="51" customWidth="1"/>
    <col min="9224" max="9455" width="9.140625" style="51"/>
    <col min="9456" max="9456" width="5.7109375" style="51" customWidth="1"/>
    <col min="9457" max="9457" width="6.85546875" style="51" customWidth="1"/>
    <col min="9458" max="9458" width="50.140625" style="51" customWidth="1"/>
    <col min="9459" max="9460" width="11.42578125" style="51" customWidth="1"/>
    <col min="9461" max="9464" width="0" style="51" hidden="1" customWidth="1"/>
    <col min="9465" max="9465" width="13.140625" style="51" customWidth="1"/>
    <col min="9466" max="9466" width="12.42578125" style="51" customWidth="1"/>
    <col min="9467" max="9467" width="12.28515625" style="51" customWidth="1"/>
    <col min="9468" max="9470" width="0" style="51" hidden="1" customWidth="1"/>
    <col min="9471" max="9471" width="12.7109375" style="51" customWidth="1"/>
    <col min="9472" max="9472" width="12.42578125" style="51" customWidth="1"/>
    <col min="9473" max="9473" width="13.28515625" style="51" customWidth="1"/>
    <col min="9474" max="9474" width="12.42578125" style="51" customWidth="1"/>
    <col min="9475" max="9475" width="11.7109375" style="51" customWidth="1"/>
    <col min="9476" max="9476" width="11.42578125" style="51" customWidth="1"/>
    <col min="9477" max="9477" width="11.5703125" style="51" bestFit="1" customWidth="1"/>
    <col min="9478" max="9478" width="11.85546875" style="51" customWidth="1"/>
    <col min="9479" max="9479" width="12" style="51" customWidth="1"/>
    <col min="9480" max="9711" width="9.140625" style="51"/>
    <col min="9712" max="9712" width="5.7109375" style="51" customWidth="1"/>
    <col min="9713" max="9713" width="6.85546875" style="51" customWidth="1"/>
    <col min="9714" max="9714" width="50.140625" style="51" customWidth="1"/>
    <col min="9715" max="9716" width="11.42578125" style="51" customWidth="1"/>
    <col min="9717" max="9720" width="0" style="51" hidden="1" customWidth="1"/>
    <col min="9721" max="9721" width="13.140625" style="51" customWidth="1"/>
    <col min="9722" max="9722" width="12.42578125" style="51" customWidth="1"/>
    <col min="9723" max="9723" width="12.28515625" style="51" customWidth="1"/>
    <col min="9724" max="9726" width="0" style="51" hidden="1" customWidth="1"/>
    <col min="9727" max="9727" width="12.7109375" style="51" customWidth="1"/>
    <col min="9728" max="9728" width="12.42578125" style="51" customWidth="1"/>
    <col min="9729" max="9729" width="13.28515625" style="51" customWidth="1"/>
    <col min="9730" max="9730" width="12.42578125" style="51" customWidth="1"/>
    <col min="9731" max="9731" width="11.7109375" style="51" customWidth="1"/>
    <col min="9732" max="9732" width="11.42578125" style="51" customWidth="1"/>
    <col min="9733" max="9733" width="11.5703125" style="51" bestFit="1" customWidth="1"/>
    <col min="9734" max="9734" width="11.85546875" style="51" customWidth="1"/>
    <col min="9735" max="9735" width="12" style="51" customWidth="1"/>
    <col min="9736" max="9967" width="9.140625" style="51"/>
    <col min="9968" max="9968" width="5.7109375" style="51" customWidth="1"/>
    <col min="9969" max="9969" width="6.85546875" style="51" customWidth="1"/>
    <col min="9970" max="9970" width="50.140625" style="51" customWidth="1"/>
    <col min="9971" max="9972" width="11.42578125" style="51" customWidth="1"/>
    <col min="9973" max="9976" width="0" style="51" hidden="1" customWidth="1"/>
    <col min="9977" max="9977" width="13.140625" style="51" customWidth="1"/>
    <col min="9978" max="9978" width="12.42578125" style="51" customWidth="1"/>
    <col min="9979" max="9979" width="12.28515625" style="51" customWidth="1"/>
    <col min="9980" max="9982" width="0" style="51" hidden="1" customWidth="1"/>
    <col min="9983" max="9983" width="12.7109375" style="51" customWidth="1"/>
    <col min="9984" max="9984" width="12.42578125" style="51" customWidth="1"/>
    <col min="9985" max="9985" width="13.28515625" style="51" customWidth="1"/>
    <col min="9986" max="9986" width="12.42578125" style="51" customWidth="1"/>
    <col min="9987" max="9987" width="11.7109375" style="51" customWidth="1"/>
    <col min="9988" max="9988" width="11.42578125" style="51" customWidth="1"/>
    <col min="9989" max="9989" width="11.5703125" style="51" bestFit="1" customWidth="1"/>
    <col min="9990" max="9990" width="11.85546875" style="51" customWidth="1"/>
    <col min="9991" max="9991" width="12" style="51" customWidth="1"/>
    <col min="9992" max="10223" width="9.140625" style="51"/>
    <col min="10224" max="10224" width="5.7109375" style="51" customWidth="1"/>
    <col min="10225" max="10225" width="6.85546875" style="51" customWidth="1"/>
    <col min="10226" max="10226" width="50.140625" style="51" customWidth="1"/>
    <col min="10227" max="10228" width="11.42578125" style="51" customWidth="1"/>
    <col min="10229" max="10232" width="0" style="51" hidden="1" customWidth="1"/>
    <col min="10233" max="10233" width="13.140625" style="51" customWidth="1"/>
    <col min="10234" max="10234" width="12.42578125" style="51" customWidth="1"/>
    <col min="10235" max="10235" width="12.28515625" style="51" customWidth="1"/>
    <col min="10236" max="10238" width="0" style="51" hidden="1" customWidth="1"/>
    <col min="10239" max="10239" width="12.7109375" style="51" customWidth="1"/>
    <col min="10240" max="10240" width="12.42578125" style="51" customWidth="1"/>
    <col min="10241" max="10241" width="13.28515625" style="51" customWidth="1"/>
    <col min="10242" max="10242" width="12.42578125" style="51" customWidth="1"/>
    <col min="10243" max="10243" width="11.7109375" style="51" customWidth="1"/>
    <col min="10244" max="10244" width="11.42578125" style="51" customWidth="1"/>
    <col min="10245" max="10245" width="11.5703125" style="51" bestFit="1" customWidth="1"/>
    <col min="10246" max="10246" width="11.85546875" style="51" customWidth="1"/>
    <col min="10247" max="10247" width="12" style="51" customWidth="1"/>
    <col min="10248" max="10479" width="9.140625" style="51"/>
    <col min="10480" max="10480" width="5.7109375" style="51" customWidth="1"/>
    <col min="10481" max="10481" width="6.85546875" style="51" customWidth="1"/>
    <col min="10482" max="10482" width="50.140625" style="51" customWidth="1"/>
    <col min="10483" max="10484" width="11.42578125" style="51" customWidth="1"/>
    <col min="10485" max="10488" width="0" style="51" hidden="1" customWidth="1"/>
    <col min="10489" max="10489" width="13.140625" style="51" customWidth="1"/>
    <col min="10490" max="10490" width="12.42578125" style="51" customWidth="1"/>
    <col min="10491" max="10491" width="12.28515625" style="51" customWidth="1"/>
    <col min="10492" max="10494" width="0" style="51" hidden="1" customWidth="1"/>
    <col min="10495" max="10495" width="12.7109375" style="51" customWidth="1"/>
    <col min="10496" max="10496" width="12.42578125" style="51" customWidth="1"/>
    <col min="10497" max="10497" width="13.28515625" style="51" customWidth="1"/>
    <col min="10498" max="10498" width="12.42578125" style="51" customWidth="1"/>
    <col min="10499" max="10499" width="11.7109375" style="51" customWidth="1"/>
    <col min="10500" max="10500" width="11.42578125" style="51" customWidth="1"/>
    <col min="10501" max="10501" width="11.5703125" style="51" bestFit="1" customWidth="1"/>
    <col min="10502" max="10502" width="11.85546875" style="51" customWidth="1"/>
    <col min="10503" max="10503" width="12" style="51" customWidth="1"/>
    <col min="10504" max="10735" width="9.140625" style="51"/>
    <col min="10736" max="10736" width="5.7109375" style="51" customWidth="1"/>
    <col min="10737" max="10737" width="6.85546875" style="51" customWidth="1"/>
    <col min="10738" max="10738" width="50.140625" style="51" customWidth="1"/>
    <col min="10739" max="10740" width="11.42578125" style="51" customWidth="1"/>
    <col min="10741" max="10744" width="0" style="51" hidden="1" customWidth="1"/>
    <col min="10745" max="10745" width="13.140625" style="51" customWidth="1"/>
    <col min="10746" max="10746" width="12.42578125" style="51" customWidth="1"/>
    <col min="10747" max="10747" width="12.28515625" style="51" customWidth="1"/>
    <col min="10748" max="10750" width="0" style="51" hidden="1" customWidth="1"/>
    <col min="10751" max="10751" width="12.7109375" style="51" customWidth="1"/>
    <col min="10752" max="10752" width="12.42578125" style="51" customWidth="1"/>
    <col min="10753" max="10753" width="13.28515625" style="51" customWidth="1"/>
    <col min="10754" max="10754" width="12.42578125" style="51" customWidth="1"/>
    <col min="10755" max="10755" width="11.7109375" style="51" customWidth="1"/>
    <col min="10756" max="10756" width="11.42578125" style="51" customWidth="1"/>
    <col min="10757" max="10757" width="11.5703125" style="51" bestFit="1" customWidth="1"/>
    <col min="10758" max="10758" width="11.85546875" style="51" customWidth="1"/>
    <col min="10759" max="10759" width="12" style="51" customWidth="1"/>
    <col min="10760" max="10991" width="9.140625" style="51"/>
    <col min="10992" max="10992" width="5.7109375" style="51" customWidth="1"/>
    <col min="10993" max="10993" width="6.85546875" style="51" customWidth="1"/>
    <col min="10994" max="10994" width="50.140625" style="51" customWidth="1"/>
    <col min="10995" max="10996" width="11.42578125" style="51" customWidth="1"/>
    <col min="10997" max="11000" width="0" style="51" hidden="1" customWidth="1"/>
    <col min="11001" max="11001" width="13.140625" style="51" customWidth="1"/>
    <col min="11002" max="11002" width="12.42578125" style="51" customWidth="1"/>
    <col min="11003" max="11003" width="12.28515625" style="51" customWidth="1"/>
    <col min="11004" max="11006" width="0" style="51" hidden="1" customWidth="1"/>
    <col min="11007" max="11007" width="12.7109375" style="51" customWidth="1"/>
    <col min="11008" max="11008" width="12.42578125" style="51" customWidth="1"/>
    <col min="11009" max="11009" width="13.28515625" style="51" customWidth="1"/>
    <col min="11010" max="11010" width="12.42578125" style="51" customWidth="1"/>
    <col min="11011" max="11011" width="11.7109375" style="51" customWidth="1"/>
    <col min="11012" max="11012" width="11.42578125" style="51" customWidth="1"/>
    <col min="11013" max="11013" width="11.5703125" style="51" bestFit="1" customWidth="1"/>
    <col min="11014" max="11014" width="11.85546875" style="51" customWidth="1"/>
    <col min="11015" max="11015" width="12" style="51" customWidth="1"/>
    <col min="11016" max="11247" width="9.140625" style="51"/>
    <col min="11248" max="11248" width="5.7109375" style="51" customWidth="1"/>
    <col min="11249" max="11249" width="6.85546875" style="51" customWidth="1"/>
    <col min="11250" max="11250" width="50.140625" style="51" customWidth="1"/>
    <col min="11251" max="11252" width="11.42578125" style="51" customWidth="1"/>
    <col min="11253" max="11256" width="0" style="51" hidden="1" customWidth="1"/>
    <col min="11257" max="11257" width="13.140625" style="51" customWidth="1"/>
    <col min="11258" max="11258" width="12.42578125" style="51" customWidth="1"/>
    <col min="11259" max="11259" width="12.28515625" style="51" customWidth="1"/>
    <col min="11260" max="11262" width="0" style="51" hidden="1" customWidth="1"/>
    <col min="11263" max="11263" width="12.7109375" style="51" customWidth="1"/>
    <col min="11264" max="11264" width="12.42578125" style="51" customWidth="1"/>
    <col min="11265" max="11265" width="13.28515625" style="51" customWidth="1"/>
    <col min="11266" max="11266" width="12.42578125" style="51" customWidth="1"/>
    <col min="11267" max="11267" width="11.7109375" style="51" customWidth="1"/>
    <col min="11268" max="11268" width="11.42578125" style="51" customWidth="1"/>
    <col min="11269" max="11269" width="11.5703125" style="51" bestFit="1" customWidth="1"/>
    <col min="11270" max="11270" width="11.85546875" style="51" customWidth="1"/>
    <col min="11271" max="11271" width="12" style="51" customWidth="1"/>
    <col min="11272" max="11503" width="9.140625" style="51"/>
    <col min="11504" max="11504" width="5.7109375" style="51" customWidth="1"/>
    <col min="11505" max="11505" width="6.85546875" style="51" customWidth="1"/>
    <col min="11506" max="11506" width="50.140625" style="51" customWidth="1"/>
    <col min="11507" max="11508" width="11.42578125" style="51" customWidth="1"/>
    <col min="11509" max="11512" width="0" style="51" hidden="1" customWidth="1"/>
    <col min="11513" max="11513" width="13.140625" style="51" customWidth="1"/>
    <col min="11514" max="11514" width="12.42578125" style="51" customWidth="1"/>
    <col min="11515" max="11515" width="12.28515625" style="51" customWidth="1"/>
    <col min="11516" max="11518" width="0" style="51" hidden="1" customWidth="1"/>
    <col min="11519" max="11519" width="12.7109375" style="51" customWidth="1"/>
    <col min="11520" max="11520" width="12.42578125" style="51" customWidth="1"/>
    <col min="11521" max="11521" width="13.28515625" style="51" customWidth="1"/>
    <col min="11522" max="11522" width="12.42578125" style="51" customWidth="1"/>
    <col min="11523" max="11523" width="11.7109375" style="51" customWidth="1"/>
    <col min="11524" max="11524" width="11.42578125" style="51" customWidth="1"/>
    <col min="11525" max="11525" width="11.5703125" style="51" bestFit="1" customWidth="1"/>
    <col min="11526" max="11526" width="11.85546875" style="51" customWidth="1"/>
    <col min="11527" max="11527" width="12" style="51" customWidth="1"/>
    <col min="11528" max="11759" width="9.140625" style="51"/>
    <col min="11760" max="11760" width="5.7109375" style="51" customWidth="1"/>
    <col min="11761" max="11761" width="6.85546875" style="51" customWidth="1"/>
    <col min="11762" max="11762" width="50.140625" style="51" customWidth="1"/>
    <col min="11763" max="11764" width="11.42578125" style="51" customWidth="1"/>
    <col min="11765" max="11768" width="0" style="51" hidden="1" customWidth="1"/>
    <col min="11769" max="11769" width="13.140625" style="51" customWidth="1"/>
    <col min="11770" max="11770" width="12.42578125" style="51" customWidth="1"/>
    <col min="11771" max="11771" width="12.28515625" style="51" customWidth="1"/>
    <col min="11772" max="11774" width="0" style="51" hidden="1" customWidth="1"/>
    <col min="11775" max="11775" width="12.7109375" style="51" customWidth="1"/>
    <col min="11776" max="11776" width="12.42578125" style="51" customWidth="1"/>
    <col min="11777" max="11777" width="13.28515625" style="51" customWidth="1"/>
    <col min="11778" max="11778" width="12.42578125" style="51" customWidth="1"/>
    <col min="11779" max="11779" width="11.7109375" style="51" customWidth="1"/>
    <col min="11780" max="11780" width="11.42578125" style="51" customWidth="1"/>
    <col min="11781" max="11781" width="11.5703125" style="51" bestFit="1" customWidth="1"/>
    <col min="11782" max="11782" width="11.85546875" style="51" customWidth="1"/>
    <col min="11783" max="11783" width="12" style="51" customWidth="1"/>
    <col min="11784" max="12015" width="9.140625" style="51"/>
    <col min="12016" max="12016" width="5.7109375" style="51" customWidth="1"/>
    <col min="12017" max="12017" width="6.85546875" style="51" customWidth="1"/>
    <col min="12018" max="12018" width="50.140625" style="51" customWidth="1"/>
    <col min="12019" max="12020" width="11.42578125" style="51" customWidth="1"/>
    <col min="12021" max="12024" width="0" style="51" hidden="1" customWidth="1"/>
    <col min="12025" max="12025" width="13.140625" style="51" customWidth="1"/>
    <col min="12026" max="12026" width="12.42578125" style="51" customWidth="1"/>
    <col min="12027" max="12027" width="12.28515625" style="51" customWidth="1"/>
    <col min="12028" max="12030" width="0" style="51" hidden="1" customWidth="1"/>
    <col min="12031" max="12031" width="12.7109375" style="51" customWidth="1"/>
    <col min="12032" max="12032" width="12.42578125" style="51" customWidth="1"/>
    <col min="12033" max="12033" width="13.28515625" style="51" customWidth="1"/>
    <col min="12034" max="12034" width="12.42578125" style="51" customWidth="1"/>
    <col min="12035" max="12035" width="11.7109375" style="51" customWidth="1"/>
    <col min="12036" max="12036" width="11.42578125" style="51" customWidth="1"/>
    <col min="12037" max="12037" width="11.5703125" style="51" bestFit="1" customWidth="1"/>
    <col min="12038" max="12038" width="11.85546875" style="51" customWidth="1"/>
    <col min="12039" max="12039" width="12" style="51" customWidth="1"/>
    <col min="12040" max="12271" width="9.140625" style="51"/>
    <col min="12272" max="12272" width="5.7109375" style="51" customWidth="1"/>
    <col min="12273" max="12273" width="6.85546875" style="51" customWidth="1"/>
    <col min="12274" max="12274" width="50.140625" style="51" customWidth="1"/>
    <col min="12275" max="12276" width="11.42578125" style="51" customWidth="1"/>
    <col min="12277" max="12280" width="0" style="51" hidden="1" customWidth="1"/>
    <col min="12281" max="12281" width="13.140625" style="51" customWidth="1"/>
    <col min="12282" max="12282" width="12.42578125" style="51" customWidth="1"/>
    <col min="12283" max="12283" width="12.28515625" style="51" customWidth="1"/>
    <col min="12284" max="12286" width="0" style="51" hidden="1" customWidth="1"/>
    <col min="12287" max="12287" width="12.7109375" style="51" customWidth="1"/>
    <col min="12288" max="12288" width="12.42578125" style="51" customWidth="1"/>
    <col min="12289" max="12289" width="13.28515625" style="51" customWidth="1"/>
    <col min="12290" max="12290" width="12.42578125" style="51" customWidth="1"/>
    <col min="12291" max="12291" width="11.7109375" style="51" customWidth="1"/>
    <col min="12292" max="12292" width="11.42578125" style="51" customWidth="1"/>
    <col min="12293" max="12293" width="11.5703125" style="51" bestFit="1" customWidth="1"/>
    <col min="12294" max="12294" width="11.85546875" style="51" customWidth="1"/>
    <col min="12295" max="12295" width="12" style="51" customWidth="1"/>
    <col min="12296" max="12527" width="9.140625" style="51"/>
    <col min="12528" max="12528" width="5.7109375" style="51" customWidth="1"/>
    <col min="12529" max="12529" width="6.85546875" style="51" customWidth="1"/>
    <col min="12530" max="12530" width="50.140625" style="51" customWidth="1"/>
    <col min="12531" max="12532" width="11.42578125" style="51" customWidth="1"/>
    <col min="12533" max="12536" width="0" style="51" hidden="1" customWidth="1"/>
    <col min="12537" max="12537" width="13.140625" style="51" customWidth="1"/>
    <col min="12538" max="12538" width="12.42578125" style="51" customWidth="1"/>
    <col min="12539" max="12539" width="12.28515625" style="51" customWidth="1"/>
    <col min="12540" max="12542" width="0" style="51" hidden="1" customWidth="1"/>
    <col min="12543" max="12543" width="12.7109375" style="51" customWidth="1"/>
    <col min="12544" max="12544" width="12.42578125" style="51" customWidth="1"/>
    <col min="12545" max="12545" width="13.28515625" style="51" customWidth="1"/>
    <col min="12546" max="12546" width="12.42578125" style="51" customWidth="1"/>
    <col min="12547" max="12547" width="11.7109375" style="51" customWidth="1"/>
    <col min="12548" max="12548" width="11.42578125" style="51" customWidth="1"/>
    <col min="12549" max="12549" width="11.5703125" style="51" bestFit="1" customWidth="1"/>
    <col min="12550" max="12550" width="11.85546875" style="51" customWidth="1"/>
    <col min="12551" max="12551" width="12" style="51" customWidth="1"/>
    <col min="12552" max="12783" width="9.140625" style="51"/>
    <col min="12784" max="12784" width="5.7109375" style="51" customWidth="1"/>
    <col min="12785" max="12785" width="6.85546875" style="51" customWidth="1"/>
    <col min="12786" max="12786" width="50.140625" style="51" customWidth="1"/>
    <col min="12787" max="12788" width="11.42578125" style="51" customWidth="1"/>
    <col min="12789" max="12792" width="0" style="51" hidden="1" customWidth="1"/>
    <col min="12793" max="12793" width="13.140625" style="51" customWidth="1"/>
    <col min="12794" max="12794" width="12.42578125" style="51" customWidth="1"/>
    <col min="12795" max="12795" width="12.28515625" style="51" customWidth="1"/>
    <col min="12796" max="12798" width="0" style="51" hidden="1" customWidth="1"/>
    <col min="12799" max="12799" width="12.7109375" style="51" customWidth="1"/>
    <col min="12800" max="12800" width="12.42578125" style="51" customWidth="1"/>
    <col min="12801" max="12801" width="13.28515625" style="51" customWidth="1"/>
    <col min="12802" max="12802" width="12.42578125" style="51" customWidth="1"/>
    <col min="12803" max="12803" width="11.7109375" style="51" customWidth="1"/>
    <col min="12804" max="12804" width="11.42578125" style="51" customWidth="1"/>
    <col min="12805" max="12805" width="11.5703125" style="51" bestFit="1" customWidth="1"/>
    <col min="12806" max="12806" width="11.85546875" style="51" customWidth="1"/>
    <col min="12807" max="12807" width="12" style="51" customWidth="1"/>
    <col min="12808" max="13039" width="9.140625" style="51"/>
    <col min="13040" max="13040" width="5.7109375" style="51" customWidth="1"/>
    <col min="13041" max="13041" width="6.85546875" style="51" customWidth="1"/>
    <col min="13042" max="13042" width="50.140625" style="51" customWidth="1"/>
    <col min="13043" max="13044" width="11.42578125" style="51" customWidth="1"/>
    <col min="13045" max="13048" width="0" style="51" hidden="1" customWidth="1"/>
    <col min="13049" max="13049" width="13.140625" style="51" customWidth="1"/>
    <col min="13050" max="13050" width="12.42578125" style="51" customWidth="1"/>
    <col min="13051" max="13051" width="12.28515625" style="51" customWidth="1"/>
    <col min="13052" max="13054" width="0" style="51" hidden="1" customWidth="1"/>
    <col min="13055" max="13055" width="12.7109375" style="51" customWidth="1"/>
    <col min="13056" max="13056" width="12.42578125" style="51" customWidth="1"/>
    <col min="13057" max="13057" width="13.28515625" style="51" customWidth="1"/>
    <col min="13058" max="13058" width="12.42578125" style="51" customWidth="1"/>
    <col min="13059" max="13059" width="11.7109375" style="51" customWidth="1"/>
    <col min="13060" max="13060" width="11.42578125" style="51" customWidth="1"/>
    <col min="13061" max="13061" width="11.5703125" style="51" bestFit="1" customWidth="1"/>
    <col min="13062" max="13062" width="11.85546875" style="51" customWidth="1"/>
    <col min="13063" max="13063" width="12" style="51" customWidth="1"/>
    <col min="13064" max="13295" width="9.140625" style="51"/>
    <col min="13296" max="13296" width="5.7109375" style="51" customWidth="1"/>
    <col min="13297" max="13297" width="6.85546875" style="51" customWidth="1"/>
    <col min="13298" max="13298" width="50.140625" style="51" customWidth="1"/>
    <col min="13299" max="13300" width="11.42578125" style="51" customWidth="1"/>
    <col min="13301" max="13304" width="0" style="51" hidden="1" customWidth="1"/>
    <col min="13305" max="13305" width="13.140625" style="51" customWidth="1"/>
    <col min="13306" max="13306" width="12.42578125" style="51" customWidth="1"/>
    <col min="13307" max="13307" width="12.28515625" style="51" customWidth="1"/>
    <col min="13308" max="13310" width="0" style="51" hidden="1" customWidth="1"/>
    <col min="13311" max="13311" width="12.7109375" style="51" customWidth="1"/>
    <col min="13312" max="13312" width="12.42578125" style="51" customWidth="1"/>
    <col min="13313" max="13313" width="13.28515625" style="51" customWidth="1"/>
    <col min="13314" max="13314" width="12.42578125" style="51" customWidth="1"/>
    <col min="13315" max="13315" width="11.7109375" style="51" customWidth="1"/>
    <col min="13316" max="13316" width="11.42578125" style="51" customWidth="1"/>
    <col min="13317" max="13317" width="11.5703125" style="51" bestFit="1" customWidth="1"/>
    <col min="13318" max="13318" width="11.85546875" style="51" customWidth="1"/>
    <col min="13319" max="13319" width="12" style="51" customWidth="1"/>
    <col min="13320" max="13551" width="9.140625" style="51"/>
    <col min="13552" max="13552" width="5.7109375" style="51" customWidth="1"/>
    <col min="13553" max="13553" width="6.85546875" style="51" customWidth="1"/>
    <col min="13554" max="13554" width="50.140625" style="51" customWidth="1"/>
    <col min="13555" max="13556" width="11.42578125" style="51" customWidth="1"/>
    <col min="13557" max="13560" width="0" style="51" hidden="1" customWidth="1"/>
    <col min="13561" max="13561" width="13.140625" style="51" customWidth="1"/>
    <col min="13562" max="13562" width="12.42578125" style="51" customWidth="1"/>
    <col min="13563" max="13563" width="12.28515625" style="51" customWidth="1"/>
    <col min="13564" max="13566" width="0" style="51" hidden="1" customWidth="1"/>
    <col min="13567" max="13567" width="12.7109375" style="51" customWidth="1"/>
    <col min="13568" max="13568" width="12.42578125" style="51" customWidth="1"/>
    <col min="13569" max="13569" width="13.28515625" style="51" customWidth="1"/>
    <col min="13570" max="13570" width="12.42578125" style="51" customWidth="1"/>
    <col min="13571" max="13571" width="11.7109375" style="51" customWidth="1"/>
    <col min="13572" max="13572" width="11.42578125" style="51" customWidth="1"/>
    <col min="13573" max="13573" width="11.5703125" style="51" bestFit="1" customWidth="1"/>
    <col min="13574" max="13574" width="11.85546875" style="51" customWidth="1"/>
    <col min="13575" max="13575" width="12" style="51" customWidth="1"/>
    <col min="13576" max="13807" width="9.140625" style="51"/>
    <col min="13808" max="13808" width="5.7109375" style="51" customWidth="1"/>
    <col min="13809" max="13809" width="6.85546875" style="51" customWidth="1"/>
    <col min="13810" max="13810" width="50.140625" style="51" customWidth="1"/>
    <col min="13811" max="13812" width="11.42578125" style="51" customWidth="1"/>
    <col min="13813" max="13816" width="0" style="51" hidden="1" customWidth="1"/>
    <col min="13817" max="13817" width="13.140625" style="51" customWidth="1"/>
    <col min="13818" max="13818" width="12.42578125" style="51" customWidth="1"/>
    <col min="13819" max="13819" width="12.28515625" style="51" customWidth="1"/>
    <col min="13820" max="13822" width="0" style="51" hidden="1" customWidth="1"/>
    <col min="13823" max="13823" width="12.7109375" style="51" customWidth="1"/>
    <col min="13824" max="13824" width="12.42578125" style="51" customWidth="1"/>
    <col min="13825" max="13825" width="13.28515625" style="51" customWidth="1"/>
    <col min="13826" max="13826" width="12.42578125" style="51" customWidth="1"/>
    <col min="13827" max="13827" width="11.7109375" style="51" customWidth="1"/>
    <col min="13828" max="13828" width="11.42578125" style="51" customWidth="1"/>
    <col min="13829" max="13829" width="11.5703125" style="51" bestFit="1" customWidth="1"/>
    <col min="13830" max="13830" width="11.85546875" style="51" customWidth="1"/>
    <col min="13831" max="13831" width="12" style="51" customWidth="1"/>
    <col min="13832" max="14063" width="9.140625" style="51"/>
    <col min="14064" max="14064" width="5.7109375" style="51" customWidth="1"/>
    <col min="14065" max="14065" width="6.85546875" style="51" customWidth="1"/>
    <col min="14066" max="14066" width="50.140625" style="51" customWidth="1"/>
    <col min="14067" max="14068" width="11.42578125" style="51" customWidth="1"/>
    <col min="14069" max="14072" width="0" style="51" hidden="1" customWidth="1"/>
    <col min="14073" max="14073" width="13.140625" style="51" customWidth="1"/>
    <col min="14074" max="14074" width="12.42578125" style="51" customWidth="1"/>
    <col min="14075" max="14075" width="12.28515625" style="51" customWidth="1"/>
    <col min="14076" max="14078" width="0" style="51" hidden="1" customWidth="1"/>
    <col min="14079" max="14079" width="12.7109375" style="51" customWidth="1"/>
    <col min="14080" max="14080" width="12.42578125" style="51" customWidth="1"/>
    <col min="14081" max="14081" width="13.28515625" style="51" customWidth="1"/>
    <col min="14082" max="14082" width="12.42578125" style="51" customWidth="1"/>
    <col min="14083" max="14083" width="11.7109375" style="51" customWidth="1"/>
    <col min="14084" max="14084" width="11.42578125" style="51" customWidth="1"/>
    <col min="14085" max="14085" width="11.5703125" style="51" bestFit="1" customWidth="1"/>
    <col min="14086" max="14086" width="11.85546875" style="51" customWidth="1"/>
    <col min="14087" max="14087" width="12" style="51" customWidth="1"/>
    <col min="14088" max="14319" width="9.140625" style="51"/>
    <col min="14320" max="14320" width="5.7109375" style="51" customWidth="1"/>
    <col min="14321" max="14321" width="6.85546875" style="51" customWidth="1"/>
    <col min="14322" max="14322" width="50.140625" style="51" customWidth="1"/>
    <col min="14323" max="14324" width="11.42578125" style="51" customWidth="1"/>
    <col min="14325" max="14328" width="0" style="51" hidden="1" customWidth="1"/>
    <col min="14329" max="14329" width="13.140625" style="51" customWidth="1"/>
    <col min="14330" max="14330" width="12.42578125" style="51" customWidth="1"/>
    <col min="14331" max="14331" width="12.28515625" style="51" customWidth="1"/>
    <col min="14332" max="14334" width="0" style="51" hidden="1" customWidth="1"/>
    <col min="14335" max="14335" width="12.7109375" style="51" customWidth="1"/>
    <col min="14336" max="14336" width="12.42578125" style="51" customWidth="1"/>
    <col min="14337" max="14337" width="13.28515625" style="51" customWidth="1"/>
    <col min="14338" max="14338" width="12.42578125" style="51" customWidth="1"/>
    <col min="14339" max="14339" width="11.7109375" style="51" customWidth="1"/>
    <col min="14340" max="14340" width="11.42578125" style="51" customWidth="1"/>
    <col min="14341" max="14341" width="11.5703125" style="51" bestFit="1" customWidth="1"/>
    <col min="14342" max="14342" width="11.85546875" style="51" customWidth="1"/>
    <col min="14343" max="14343" width="12" style="51" customWidth="1"/>
    <col min="14344" max="14575" width="9.140625" style="51"/>
    <col min="14576" max="14576" width="5.7109375" style="51" customWidth="1"/>
    <col min="14577" max="14577" width="6.85546875" style="51" customWidth="1"/>
    <col min="14578" max="14578" width="50.140625" style="51" customWidth="1"/>
    <col min="14579" max="14580" width="11.42578125" style="51" customWidth="1"/>
    <col min="14581" max="14584" width="0" style="51" hidden="1" customWidth="1"/>
    <col min="14585" max="14585" width="13.140625" style="51" customWidth="1"/>
    <col min="14586" max="14586" width="12.42578125" style="51" customWidth="1"/>
    <col min="14587" max="14587" width="12.28515625" style="51" customWidth="1"/>
    <col min="14588" max="14590" width="0" style="51" hidden="1" customWidth="1"/>
    <col min="14591" max="14591" width="12.7109375" style="51" customWidth="1"/>
    <col min="14592" max="14592" width="12.42578125" style="51" customWidth="1"/>
    <col min="14593" max="14593" width="13.28515625" style="51" customWidth="1"/>
    <col min="14594" max="14594" width="12.42578125" style="51" customWidth="1"/>
    <col min="14595" max="14595" width="11.7109375" style="51" customWidth="1"/>
    <col min="14596" max="14596" width="11.42578125" style="51" customWidth="1"/>
    <col min="14597" max="14597" width="11.5703125" style="51" bestFit="1" customWidth="1"/>
    <col min="14598" max="14598" width="11.85546875" style="51" customWidth="1"/>
    <col min="14599" max="14599" width="12" style="51" customWidth="1"/>
    <col min="14600" max="14831" width="9.140625" style="51"/>
    <col min="14832" max="14832" width="5.7109375" style="51" customWidth="1"/>
    <col min="14833" max="14833" width="6.85546875" style="51" customWidth="1"/>
    <col min="14834" max="14834" width="50.140625" style="51" customWidth="1"/>
    <col min="14835" max="14836" width="11.42578125" style="51" customWidth="1"/>
    <col min="14837" max="14840" width="0" style="51" hidden="1" customWidth="1"/>
    <col min="14841" max="14841" width="13.140625" style="51" customWidth="1"/>
    <col min="14842" max="14842" width="12.42578125" style="51" customWidth="1"/>
    <col min="14843" max="14843" width="12.28515625" style="51" customWidth="1"/>
    <col min="14844" max="14846" width="0" style="51" hidden="1" customWidth="1"/>
    <col min="14847" max="14847" width="12.7109375" style="51" customWidth="1"/>
    <col min="14848" max="14848" width="12.42578125" style="51" customWidth="1"/>
    <col min="14849" max="14849" width="13.28515625" style="51" customWidth="1"/>
    <col min="14850" max="14850" width="12.42578125" style="51" customWidth="1"/>
    <col min="14851" max="14851" width="11.7109375" style="51" customWidth="1"/>
    <col min="14852" max="14852" width="11.42578125" style="51" customWidth="1"/>
    <col min="14853" max="14853" width="11.5703125" style="51" bestFit="1" customWidth="1"/>
    <col min="14854" max="14854" width="11.85546875" style="51" customWidth="1"/>
    <col min="14855" max="14855" width="12" style="51" customWidth="1"/>
    <col min="14856" max="15087" width="9.140625" style="51"/>
    <col min="15088" max="15088" width="5.7109375" style="51" customWidth="1"/>
    <col min="15089" max="15089" width="6.85546875" style="51" customWidth="1"/>
    <col min="15090" max="15090" width="50.140625" style="51" customWidth="1"/>
    <col min="15091" max="15092" width="11.42578125" style="51" customWidth="1"/>
    <col min="15093" max="15096" width="0" style="51" hidden="1" customWidth="1"/>
    <col min="15097" max="15097" width="13.140625" style="51" customWidth="1"/>
    <col min="15098" max="15098" width="12.42578125" style="51" customWidth="1"/>
    <col min="15099" max="15099" width="12.28515625" style="51" customWidth="1"/>
    <col min="15100" max="15102" width="0" style="51" hidden="1" customWidth="1"/>
    <col min="15103" max="15103" width="12.7109375" style="51" customWidth="1"/>
    <col min="15104" max="15104" width="12.42578125" style="51" customWidth="1"/>
    <col min="15105" max="15105" width="13.28515625" style="51" customWidth="1"/>
    <col min="15106" max="15106" width="12.42578125" style="51" customWidth="1"/>
    <col min="15107" max="15107" width="11.7109375" style="51" customWidth="1"/>
    <col min="15108" max="15108" width="11.42578125" style="51" customWidth="1"/>
    <col min="15109" max="15109" width="11.5703125" style="51" bestFit="1" customWidth="1"/>
    <col min="15110" max="15110" width="11.85546875" style="51" customWidth="1"/>
    <col min="15111" max="15111" width="12" style="51" customWidth="1"/>
    <col min="15112" max="15343" width="9.140625" style="51"/>
    <col min="15344" max="15344" width="5.7109375" style="51" customWidth="1"/>
    <col min="15345" max="15345" width="6.85546875" style="51" customWidth="1"/>
    <col min="15346" max="15346" width="50.140625" style="51" customWidth="1"/>
    <col min="15347" max="15348" width="11.42578125" style="51" customWidth="1"/>
    <col min="15349" max="15352" width="0" style="51" hidden="1" customWidth="1"/>
    <col min="15353" max="15353" width="13.140625" style="51" customWidth="1"/>
    <col min="15354" max="15354" width="12.42578125" style="51" customWidth="1"/>
    <col min="15355" max="15355" width="12.28515625" style="51" customWidth="1"/>
    <col min="15356" max="15358" width="0" style="51" hidden="1" customWidth="1"/>
    <col min="15359" max="15359" width="12.7109375" style="51" customWidth="1"/>
    <col min="15360" max="15360" width="12.42578125" style="51" customWidth="1"/>
    <col min="15361" max="15361" width="13.28515625" style="51" customWidth="1"/>
    <col min="15362" max="15362" width="12.42578125" style="51" customWidth="1"/>
    <col min="15363" max="15363" width="11.7109375" style="51" customWidth="1"/>
    <col min="15364" max="15364" width="11.42578125" style="51" customWidth="1"/>
    <col min="15365" max="15365" width="11.5703125" style="51" bestFit="1" customWidth="1"/>
    <col min="15366" max="15366" width="11.85546875" style="51" customWidth="1"/>
    <col min="15367" max="15367" width="12" style="51" customWidth="1"/>
    <col min="15368" max="15599" width="9.140625" style="51"/>
    <col min="15600" max="15600" width="5.7109375" style="51" customWidth="1"/>
    <col min="15601" max="15601" width="6.85546875" style="51" customWidth="1"/>
    <col min="15602" max="15602" width="50.140625" style="51" customWidth="1"/>
    <col min="15603" max="15604" width="11.42578125" style="51" customWidth="1"/>
    <col min="15605" max="15608" width="0" style="51" hidden="1" customWidth="1"/>
    <col min="15609" max="15609" width="13.140625" style="51" customWidth="1"/>
    <col min="15610" max="15610" width="12.42578125" style="51" customWidth="1"/>
    <col min="15611" max="15611" width="12.28515625" style="51" customWidth="1"/>
    <col min="15612" max="15614" width="0" style="51" hidden="1" customWidth="1"/>
    <col min="15615" max="15615" width="12.7109375" style="51" customWidth="1"/>
    <col min="15616" max="15616" width="12.42578125" style="51" customWidth="1"/>
    <col min="15617" max="15617" width="13.28515625" style="51" customWidth="1"/>
    <col min="15618" max="15618" width="12.42578125" style="51" customWidth="1"/>
    <col min="15619" max="15619" width="11.7109375" style="51" customWidth="1"/>
    <col min="15620" max="15620" width="11.42578125" style="51" customWidth="1"/>
    <col min="15621" max="15621" width="11.5703125" style="51" bestFit="1" customWidth="1"/>
    <col min="15622" max="15622" width="11.85546875" style="51" customWidth="1"/>
    <col min="15623" max="15623" width="12" style="51" customWidth="1"/>
    <col min="15624" max="15855" width="9.140625" style="51"/>
    <col min="15856" max="15856" width="5.7109375" style="51" customWidth="1"/>
    <col min="15857" max="15857" width="6.85546875" style="51" customWidth="1"/>
    <col min="15858" max="15858" width="50.140625" style="51" customWidth="1"/>
    <col min="15859" max="15860" width="11.42578125" style="51" customWidth="1"/>
    <col min="15861" max="15864" width="0" style="51" hidden="1" customWidth="1"/>
    <col min="15865" max="15865" width="13.140625" style="51" customWidth="1"/>
    <col min="15866" max="15866" width="12.42578125" style="51" customWidth="1"/>
    <col min="15867" max="15867" width="12.28515625" style="51" customWidth="1"/>
    <col min="15868" max="15870" width="0" style="51" hidden="1" customWidth="1"/>
    <col min="15871" max="15871" width="12.7109375" style="51" customWidth="1"/>
    <col min="15872" max="15872" width="12.42578125" style="51" customWidth="1"/>
    <col min="15873" max="15873" width="13.28515625" style="51" customWidth="1"/>
    <col min="15874" max="15874" width="12.42578125" style="51" customWidth="1"/>
    <col min="15875" max="15875" width="11.7109375" style="51" customWidth="1"/>
    <col min="15876" max="15876" width="11.42578125" style="51" customWidth="1"/>
    <col min="15877" max="15877" width="11.5703125" style="51" bestFit="1" customWidth="1"/>
    <col min="15878" max="15878" width="11.85546875" style="51" customWidth="1"/>
    <col min="15879" max="15879" width="12" style="51" customWidth="1"/>
    <col min="15880" max="16111" width="9.140625" style="51"/>
    <col min="16112" max="16112" width="5.7109375" style="51" customWidth="1"/>
    <col min="16113" max="16113" width="6.85546875" style="51" customWidth="1"/>
    <col min="16114" max="16114" width="50.140625" style="51" customWidth="1"/>
    <col min="16115" max="16116" width="11.42578125" style="51" customWidth="1"/>
    <col min="16117" max="16120" width="0" style="51" hidden="1" customWidth="1"/>
    <col min="16121" max="16121" width="13.140625" style="51" customWidth="1"/>
    <col min="16122" max="16122" width="12.42578125" style="51" customWidth="1"/>
    <col min="16123" max="16123" width="12.28515625" style="51" customWidth="1"/>
    <col min="16124" max="16126" width="0" style="51" hidden="1" customWidth="1"/>
    <col min="16127" max="16127" width="12.7109375" style="51" customWidth="1"/>
    <col min="16128" max="16128" width="12.42578125" style="51" customWidth="1"/>
    <col min="16129" max="16129" width="13.28515625" style="51" customWidth="1"/>
    <col min="16130" max="16130" width="12.42578125" style="51" customWidth="1"/>
    <col min="16131" max="16131" width="11.7109375" style="51" customWidth="1"/>
    <col min="16132" max="16132" width="11.42578125" style="51" customWidth="1"/>
    <col min="16133" max="16133" width="11.5703125" style="51" bestFit="1" customWidth="1"/>
    <col min="16134" max="16134" width="11.85546875" style="51" customWidth="1"/>
    <col min="16135" max="16135" width="12" style="51" customWidth="1"/>
    <col min="16136" max="16384" width="9.140625" style="51"/>
  </cols>
  <sheetData>
    <row r="1" spans="1:14" ht="13.5" hidden="1" customHeight="1">
      <c r="A1" s="1721" t="s">
        <v>218</v>
      </c>
      <c r="B1" s="1721"/>
      <c r="C1" s="1721"/>
      <c r="D1" s="1721"/>
      <c r="E1" s="1721"/>
      <c r="F1" s="1721"/>
      <c r="G1" s="1721"/>
      <c r="H1" s="1721"/>
      <c r="I1" s="1721"/>
      <c r="J1" s="1721"/>
      <c r="K1" s="207"/>
      <c r="L1" s="207"/>
      <c r="M1" s="207"/>
    </row>
    <row r="2" spans="1:14" ht="39" customHeight="1">
      <c r="A2" s="1739" t="s">
        <v>725</v>
      </c>
      <c r="B2" s="1739"/>
      <c r="C2" s="1739"/>
      <c r="D2" s="1739"/>
      <c r="E2" s="1739"/>
      <c r="F2" s="1739"/>
      <c r="G2" s="1739"/>
      <c r="H2" s="1739"/>
      <c r="I2" s="1739"/>
      <c r="J2" s="1739"/>
      <c r="K2" s="1739"/>
      <c r="L2" s="1739"/>
      <c r="M2" s="1739"/>
    </row>
    <row r="3" spans="1:14" ht="18.75" customHeight="1" thickBot="1">
      <c r="A3" s="1740"/>
      <c r="B3" s="1740"/>
      <c r="C3" s="1740"/>
      <c r="D3" s="1740"/>
      <c r="E3" s="1740"/>
      <c r="F3" s="1740"/>
      <c r="G3" s="1740"/>
      <c r="H3" s="1740"/>
      <c r="I3" s="1740"/>
      <c r="J3" s="1740"/>
      <c r="K3" s="1740"/>
      <c r="L3" s="1740"/>
      <c r="M3" s="1740"/>
    </row>
    <row r="4" spans="1:14" ht="47.25" customHeight="1">
      <c r="A4" s="1731" t="s">
        <v>219</v>
      </c>
      <c r="B4" s="1732"/>
      <c r="C4" s="1733"/>
      <c r="D4" s="1537" t="s">
        <v>220</v>
      </c>
      <c r="E4" s="1557" t="s">
        <v>221</v>
      </c>
      <c r="F4" s="1727" t="s">
        <v>258</v>
      </c>
      <c r="G4" s="1729" t="s">
        <v>257</v>
      </c>
      <c r="H4" s="1722" t="s">
        <v>724</v>
      </c>
      <c r="I4" s="1723"/>
      <c r="J4" s="1724"/>
      <c r="K4" s="1741" t="s">
        <v>279</v>
      </c>
      <c r="L4" s="1742"/>
      <c r="M4" s="1743"/>
    </row>
    <row r="5" spans="1:14" ht="22.5" customHeight="1" thickBot="1">
      <c r="A5" s="1734"/>
      <c r="B5" s="1735"/>
      <c r="C5" s="1736"/>
      <c r="D5" s="1558"/>
      <c r="E5" s="1559"/>
      <c r="F5" s="1728"/>
      <c r="G5" s="1730"/>
      <c r="H5" s="1609">
        <v>2021</v>
      </c>
      <c r="I5" s="1610">
        <v>2022</v>
      </c>
      <c r="J5" s="1611">
        <v>2023</v>
      </c>
      <c r="K5" s="1562">
        <v>2021</v>
      </c>
      <c r="L5" s="1560">
        <v>2022</v>
      </c>
      <c r="M5" s="1561">
        <v>2023</v>
      </c>
    </row>
    <row r="6" spans="1:14" s="52" customFormat="1" ht="35.25" customHeight="1">
      <c r="A6" s="1750" t="s">
        <v>222</v>
      </c>
      <c r="B6" s="1746" t="s">
        <v>223</v>
      </c>
      <c r="C6" s="1747"/>
      <c r="D6" s="1563" t="s">
        <v>225</v>
      </c>
      <c r="E6" s="1564">
        <f>E7+E8+E10</f>
        <v>3879664.45</v>
      </c>
      <c r="F6" s="1565">
        <f>F7+F8+F10</f>
        <v>5521700.6800000016</v>
      </c>
      <c r="G6" s="1597">
        <f>G7+G8+G10</f>
        <v>6984079.5000000009</v>
      </c>
      <c r="H6" s="1612">
        <f>H7+H8+H10</f>
        <v>12578556.091268545</v>
      </c>
      <c r="I6" s="1613">
        <f t="shared" ref="I6:J6" si="0">I7+I8+I10</f>
        <v>10069117.418019239</v>
      </c>
      <c r="J6" s="1614">
        <f t="shared" si="0"/>
        <v>9870212.0742303003</v>
      </c>
      <c r="K6" s="1604">
        <f>K7+K8+K10</f>
        <v>5594476.5912685432</v>
      </c>
      <c r="L6" s="1567">
        <f t="shared" ref="L6" si="1">L7+L8+L10</f>
        <v>3085037.9180192379</v>
      </c>
      <c r="M6" s="1566">
        <f t="shared" ref="M6" si="2">M7+M8+M10</f>
        <v>2886132.5742302993</v>
      </c>
    </row>
    <row r="7" spans="1:14" s="52" customFormat="1" ht="18.75" customHeight="1">
      <c r="A7" s="1750"/>
      <c r="B7" s="1746"/>
      <c r="C7" s="1747"/>
      <c r="D7" s="178" t="s">
        <v>226</v>
      </c>
      <c r="E7" s="1526">
        <f>E12+E13+E15+E16+E19+E22+E23+E24+E25+E26+E27+E28+E29+E30+E31+E35+E36+E37+E38+E39+E45+E46</f>
        <v>3131833.84</v>
      </c>
      <c r="F7" s="1509">
        <f>F12+F13+F15+F16+F19+F22+F23+F24+F25+F26+F27+F28+F29+F30+F31+F35+F36+F37+F38+F39+F45+F46</f>
        <v>4793539.8000000007</v>
      </c>
      <c r="G7" s="1598">
        <f>G12+G13+G15+G16+G19+G22+G23+G24+G25+G26+G27+G28+G29+G30+G31+G35+G36+G37+G38+G39+G45+G46</f>
        <v>4777577.7000000011</v>
      </c>
      <c r="H7" s="1509">
        <f>H12+H13+H15+H16+H19+H22+H23+H24+H25+H26+H27+H28+H29+H30+H31+H35+H36+H37+H38+H39+H45+H46+H48</f>
        <v>7929833.8520685444</v>
      </c>
      <c r="I7" s="171">
        <f t="shared" ref="I7:J7" si="3">I12+I13+I15+I16+I19+I22+I23+I24+I25+I26+I27+I28+I29+I30+I31+I35+I36+I37+I38+I39+I45+I46+I48</f>
        <v>7397319.6188192395</v>
      </c>
      <c r="J7" s="1510">
        <f t="shared" si="3"/>
        <v>7354018.6750303004</v>
      </c>
      <c r="K7" s="1605">
        <f>H7-G7</f>
        <v>3152256.1520685432</v>
      </c>
      <c r="L7" s="208">
        <f>I7-G7</f>
        <v>2619741.9188192384</v>
      </c>
      <c r="M7" s="1514">
        <f>J7-G7</f>
        <v>2576440.9750302993</v>
      </c>
    </row>
    <row r="8" spans="1:14" s="52" customFormat="1" ht="18" customHeight="1">
      <c r="A8" s="1750"/>
      <c r="B8" s="1746"/>
      <c r="C8" s="1747"/>
      <c r="D8" s="178" t="s">
        <v>227</v>
      </c>
      <c r="E8" s="1526">
        <f>E17+E40+E41+E42+E43</f>
        <v>30996.33</v>
      </c>
      <c r="F8" s="1509">
        <f>F17+F40+F41+F42+F43</f>
        <v>363505.98</v>
      </c>
      <c r="G8" s="1598">
        <f>G17+G40+G41+G42+G43</f>
        <v>620129.80000000005</v>
      </c>
      <c r="H8" s="1509">
        <f t="shared" ref="H8" si="4">H17+H40+H41+H42+H43</f>
        <v>2590474.3992000003</v>
      </c>
      <c r="I8" s="171">
        <f t="shared" ref="I8:J8" si="5">I17+I40+I41+I42+I43</f>
        <v>2671797.7991999998</v>
      </c>
      <c r="J8" s="1510">
        <f t="shared" si="5"/>
        <v>2516193.3991999999</v>
      </c>
      <c r="K8" s="1605">
        <f t="shared" ref="K8:K10" si="6">H8-G8</f>
        <v>1970344.5992000003</v>
      </c>
      <c r="L8" s="208">
        <f t="shared" ref="L8:L10" si="7">I8-G8</f>
        <v>2051667.9991999997</v>
      </c>
      <c r="M8" s="1514">
        <f t="shared" ref="M8:M10" si="8">J8-G8</f>
        <v>1896063.5991999998</v>
      </c>
    </row>
    <row r="9" spans="1:14" s="52" customFormat="1" ht="21.75" customHeight="1">
      <c r="A9" s="1750"/>
      <c r="B9" s="1746"/>
      <c r="C9" s="1747"/>
      <c r="D9" s="1538" t="s">
        <v>228</v>
      </c>
      <c r="E9" s="1526">
        <f t="shared" ref="E9:G9" si="9">E6-E10</f>
        <v>3162830.17</v>
      </c>
      <c r="F9" s="1509">
        <f t="shared" si="9"/>
        <v>5157045.7800000012</v>
      </c>
      <c r="G9" s="1598">
        <f t="shared" si="9"/>
        <v>5397707.5000000009</v>
      </c>
      <c r="H9" s="1509">
        <f t="shared" ref="H9" si="10">H6-H10</f>
        <v>10520308.251268545</v>
      </c>
      <c r="I9" s="171">
        <f t="shared" ref="I9:J9" si="11">I6-I10</f>
        <v>10069117.418019239</v>
      </c>
      <c r="J9" s="1510">
        <f t="shared" si="11"/>
        <v>9870212.0742303003</v>
      </c>
      <c r="K9" s="1605">
        <f t="shared" si="6"/>
        <v>5122600.7512685442</v>
      </c>
      <c r="L9" s="208">
        <f t="shared" si="7"/>
        <v>4671409.9180192379</v>
      </c>
      <c r="M9" s="1514">
        <f t="shared" si="8"/>
        <v>4472504.5742302993</v>
      </c>
    </row>
    <row r="10" spans="1:14" s="52" customFormat="1" ht="28.5" customHeight="1">
      <c r="A10" s="1751"/>
      <c r="B10" s="1748"/>
      <c r="C10" s="1749"/>
      <c r="D10" s="178" t="s">
        <v>229</v>
      </c>
      <c r="E10" s="1526">
        <f>E21+E32+E33</f>
        <v>716834.28</v>
      </c>
      <c r="F10" s="1509">
        <f>F21+F32+F33</f>
        <v>364654.9</v>
      </c>
      <c r="G10" s="1598">
        <f>G21+G32+G33</f>
        <v>1586372</v>
      </c>
      <c r="H10" s="1509">
        <f t="shared" ref="H10" si="12">H21+H32+H33</f>
        <v>2058247.84</v>
      </c>
      <c r="I10" s="171">
        <f t="shared" ref="I10:J10" si="13">I21+I32+I33</f>
        <v>0</v>
      </c>
      <c r="J10" s="1510">
        <f t="shared" si="13"/>
        <v>0</v>
      </c>
      <c r="K10" s="1605">
        <f t="shared" si="6"/>
        <v>471875.84000000008</v>
      </c>
      <c r="L10" s="208">
        <f t="shared" si="7"/>
        <v>-1586372</v>
      </c>
      <c r="M10" s="1514">
        <f t="shared" si="8"/>
        <v>-1586372</v>
      </c>
    </row>
    <row r="11" spans="1:14" s="165" customFormat="1" ht="39" customHeight="1">
      <c r="A11" s="1541">
        <v>1016</v>
      </c>
      <c r="B11" s="163"/>
      <c r="C11" s="1542"/>
      <c r="D11" s="1539" t="s">
        <v>230</v>
      </c>
      <c r="E11" s="1527">
        <f>SUM(E12:E13)</f>
        <v>272200.2</v>
      </c>
      <c r="F11" s="1511">
        <f>SUM(F12:F13)</f>
        <v>355323.9</v>
      </c>
      <c r="G11" s="1599">
        <f t="shared" ref="G11:M11" si="14">SUM(G12:G13)</f>
        <v>319103.59999999998</v>
      </c>
      <c r="H11" s="1511">
        <f t="shared" si="14"/>
        <v>652343</v>
      </c>
      <c r="I11" s="164">
        <f t="shared" si="14"/>
        <v>677077</v>
      </c>
      <c r="J11" s="1512">
        <f t="shared" si="14"/>
        <v>680978.8</v>
      </c>
      <c r="K11" s="1606">
        <f t="shared" si="14"/>
        <v>333239.39999999997</v>
      </c>
      <c r="L11" s="164">
        <f t="shared" si="14"/>
        <v>357973.39999999997</v>
      </c>
      <c r="M11" s="1512">
        <f t="shared" si="14"/>
        <v>361875.20000000001</v>
      </c>
      <c r="N11" s="51"/>
    </row>
    <row r="12" spans="1:14" ht="32.25" customHeight="1">
      <c r="A12" s="1725"/>
      <c r="B12" s="166">
        <v>1</v>
      </c>
      <c r="C12" s="1543">
        <v>11001</v>
      </c>
      <c r="D12" s="177" t="s">
        <v>30</v>
      </c>
      <c r="E12" s="1528">
        <v>45250.400000000001</v>
      </c>
      <c r="F12" s="1523">
        <v>38077.199999999997</v>
      </c>
      <c r="G12" s="1600">
        <f>'[1]1'!N8</f>
        <v>45461.8</v>
      </c>
      <c r="H12" s="1513">
        <v>45461.8</v>
      </c>
      <c r="I12" s="208">
        <v>45461.8</v>
      </c>
      <c r="J12" s="1514">
        <v>45461.8</v>
      </c>
      <c r="K12" s="1605">
        <f>H12-G12</f>
        <v>0</v>
      </c>
      <c r="L12" s="208">
        <f>I12-G12</f>
        <v>0</v>
      </c>
      <c r="M12" s="1514">
        <f>J12-G12</f>
        <v>0</v>
      </c>
    </row>
    <row r="13" spans="1:14" ht="34.5" customHeight="1">
      <c r="A13" s="1726"/>
      <c r="B13" s="166">
        <v>2</v>
      </c>
      <c r="C13" s="1543">
        <v>11002</v>
      </c>
      <c r="D13" s="178" t="s">
        <v>231</v>
      </c>
      <c r="E13" s="1528">
        <v>226949.8</v>
      </c>
      <c r="F13" s="1523">
        <v>317246.7</v>
      </c>
      <c r="G13" s="1600">
        <f>'[1]1'!N9</f>
        <v>273641.8</v>
      </c>
      <c r="H13" s="1513">
        <v>606881.19999999995</v>
      </c>
      <c r="I13" s="208">
        <v>631615.19999999995</v>
      </c>
      <c r="J13" s="1514">
        <v>635517</v>
      </c>
      <c r="K13" s="1605">
        <f>H13-G13</f>
        <v>333239.39999999997</v>
      </c>
      <c r="L13" s="208">
        <f>I13-G13</f>
        <v>357973.39999999997</v>
      </c>
      <c r="M13" s="1514">
        <f>J13-G13</f>
        <v>361875.20000000001</v>
      </c>
    </row>
    <row r="14" spans="1:14" s="165" customFormat="1" ht="50.25" customHeight="1">
      <c r="A14" s="1544" t="s">
        <v>232</v>
      </c>
      <c r="B14" s="167"/>
      <c r="C14" s="1545"/>
      <c r="D14" s="1540" t="s">
        <v>259</v>
      </c>
      <c r="E14" s="1529">
        <f>SUM(E15:E17)</f>
        <v>918111.39</v>
      </c>
      <c r="F14" s="1515">
        <f>SUM(F15:F17)</f>
        <v>1178166.1400000001</v>
      </c>
      <c r="G14" s="1601">
        <f t="shared" ref="G14:M14" si="15">G15+G16+G17</f>
        <v>1168054.5</v>
      </c>
      <c r="H14" s="1515">
        <f t="shared" si="15"/>
        <v>1195394.0115069451</v>
      </c>
      <c r="I14" s="168">
        <f t="shared" si="15"/>
        <v>1205297.6514630804</v>
      </c>
      <c r="J14" s="1516">
        <f t="shared" si="15"/>
        <v>1213894.9512687006</v>
      </c>
      <c r="K14" s="1607">
        <f t="shared" si="15"/>
        <v>27339.511506945026</v>
      </c>
      <c r="L14" s="168">
        <f t="shared" si="15"/>
        <v>37243.151463080299</v>
      </c>
      <c r="M14" s="1516">
        <f t="shared" si="15"/>
        <v>45840.451268700519</v>
      </c>
    </row>
    <row r="15" spans="1:14" ht="39.75" customHeight="1">
      <c r="A15" s="1725"/>
      <c r="B15" s="166">
        <v>3</v>
      </c>
      <c r="C15" s="1546">
        <v>11001</v>
      </c>
      <c r="D15" s="177" t="s">
        <v>260</v>
      </c>
      <c r="E15" s="1528">
        <v>834381.1</v>
      </c>
      <c r="F15" s="1523">
        <v>1066981.51</v>
      </c>
      <c r="G15" s="1600">
        <f>'[1]1'!N11</f>
        <v>1053075.6000000001</v>
      </c>
      <c r="H15" s="1513">
        <f>BNaparat!G16</f>
        <v>1080412.7118768911</v>
      </c>
      <c r="I15" s="208">
        <f>BNaparat!K16</f>
        <v>1090316.3318330264</v>
      </c>
      <c r="J15" s="1514">
        <f>BNaparat!L16</f>
        <v>1098913.6316386466</v>
      </c>
      <c r="K15" s="1605">
        <f t="shared" ref="K15:K17" si="16">H15-G15</f>
        <v>27337.111876890995</v>
      </c>
      <c r="L15" s="208">
        <f t="shared" ref="L15:L17" si="17">I15-G15</f>
        <v>37240.731833026279</v>
      </c>
      <c r="M15" s="1514">
        <f t="shared" ref="M15:M17" si="18">J15-G15</f>
        <v>45838.031638646498</v>
      </c>
    </row>
    <row r="16" spans="1:14" ht="21.75" customHeight="1">
      <c r="A16" s="1744"/>
      <c r="B16" s="166">
        <v>4</v>
      </c>
      <c r="C16" s="1546">
        <v>11002</v>
      </c>
      <c r="D16" s="179" t="s">
        <v>261</v>
      </c>
      <c r="E16" s="1528">
        <v>71402.66</v>
      </c>
      <c r="F16" s="1523">
        <v>97486.33</v>
      </c>
      <c r="G16" s="1600">
        <f>'[1]1'!N12</f>
        <v>99042.7</v>
      </c>
      <c r="H16" s="1513">
        <f>Cig!G14</f>
        <v>99042.700430054028</v>
      </c>
      <c r="I16" s="208">
        <f>Cig!K14</f>
        <v>99042.720430054018</v>
      </c>
      <c r="J16" s="1514">
        <f>Cig!L14</f>
        <v>99042.720430054018</v>
      </c>
      <c r="K16" s="1605">
        <f>H16-G16</f>
        <v>4.3005403131246567E-4</v>
      </c>
      <c r="L16" s="208">
        <f t="shared" si="17"/>
        <v>2.0430054020835087E-2</v>
      </c>
      <c r="M16" s="1514">
        <f t="shared" si="18"/>
        <v>2.0430054020835087E-2</v>
      </c>
    </row>
    <row r="17" spans="1:15" ht="33" customHeight="1">
      <c r="A17" s="1726"/>
      <c r="B17" s="166">
        <v>5</v>
      </c>
      <c r="C17" s="1546">
        <v>31001</v>
      </c>
      <c r="D17" s="177" t="s">
        <v>262</v>
      </c>
      <c r="E17" s="1530">
        <v>12327.63</v>
      </c>
      <c r="F17" s="1523">
        <v>13698.3</v>
      </c>
      <c r="G17" s="1600">
        <f>'[1]1'!N13</f>
        <v>15936.2</v>
      </c>
      <c r="H17" s="1513">
        <f>BNaparat!G82</f>
        <v>15938.599199999999</v>
      </c>
      <c r="I17" s="208">
        <f>BNaparat!K82</f>
        <v>15938.599199999999</v>
      </c>
      <c r="J17" s="1514">
        <f>BNaparat!L82</f>
        <v>15938.599199999999</v>
      </c>
      <c r="K17" s="1605">
        <f t="shared" si="16"/>
        <v>2.399199999998018</v>
      </c>
      <c r="L17" s="208">
        <f t="shared" si="17"/>
        <v>2.399199999998018</v>
      </c>
      <c r="M17" s="1514">
        <f t="shared" si="18"/>
        <v>2.399199999998018</v>
      </c>
    </row>
    <row r="18" spans="1:15" s="165" customFormat="1" ht="30.75" customHeight="1">
      <c r="A18" s="1547" t="s">
        <v>233</v>
      </c>
      <c r="B18" s="169"/>
      <c r="C18" s="1542"/>
      <c r="D18" s="1539" t="s">
        <v>344</v>
      </c>
      <c r="E18" s="1527">
        <f>+E19</f>
        <v>200162.48</v>
      </c>
      <c r="F18" s="1511">
        <f>+F19</f>
        <v>149471.35999999999</v>
      </c>
      <c r="G18" s="1599">
        <f t="shared" ref="G18:M18" si="19">+G19</f>
        <v>0</v>
      </c>
      <c r="H18" s="1515">
        <f t="shared" si="19"/>
        <v>633955</v>
      </c>
      <c r="I18" s="168">
        <f t="shared" si="19"/>
        <v>65193.4</v>
      </c>
      <c r="J18" s="1516">
        <f t="shared" si="19"/>
        <v>7613.6</v>
      </c>
      <c r="K18" s="1606">
        <f t="shared" si="19"/>
        <v>633955</v>
      </c>
      <c r="L18" s="164">
        <f t="shared" si="19"/>
        <v>65193.4</v>
      </c>
      <c r="M18" s="1512">
        <f t="shared" si="19"/>
        <v>7613.6</v>
      </c>
    </row>
    <row r="19" spans="1:15" ht="24.75" customHeight="1">
      <c r="A19" s="191"/>
      <c r="B19" s="166">
        <v>6</v>
      </c>
      <c r="C19" s="1548">
        <v>12001</v>
      </c>
      <c r="D19" s="180" t="s">
        <v>235</v>
      </c>
      <c r="E19" s="1531">
        <v>200162.48</v>
      </c>
      <c r="F19" s="1524">
        <v>149471.35999999999</v>
      </c>
      <c r="G19" s="1600">
        <v>0</v>
      </c>
      <c r="H19" s="1513">
        <v>633955</v>
      </c>
      <c r="I19" s="208">
        <v>65193.4</v>
      </c>
      <c r="J19" s="1514">
        <v>7613.6</v>
      </c>
      <c r="K19" s="1605">
        <f>H19-G19</f>
        <v>633955</v>
      </c>
      <c r="L19" s="208">
        <f>I19-G19</f>
        <v>65193.4</v>
      </c>
      <c r="M19" s="1514">
        <f>J19-G19</f>
        <v>7613.6</v>
      </c>
    </row>
    <row r="20" spans="1:15" s="165" customFormat="1" ht="31.5" customHeight="1">
      <c r="A20" s="1544" t="s">
        <v>236</v>
      </c>
      <c r="B20" s="167"/>
      <c r="C20" s="1545"/>
      <c r="D20" s="1540" t="s">
        <v>237</v>
      </c>
      <c r="E20" s="1529">
        <f>SUM(E21:E33)</f>
        <v>1590367.9800000002</v>
      </c>
      <c r="F20" s="1515">
        <f>SUM(F21:F33)</f>
        <v>1735985.36</v>
      </c>
      <c r="G20" s="1601">
        <f t="shared" ref="G20:M20" si="20">SUM(G21:G33)</f>
        <v>2840595.9000000004</v>
      </c>
      <c r="H20" s="1515">
        <f t="shared" si="20"/>
        <v>3574038.9400000004</v>
      </c>
      <c r="I20" s="168">
        <f t="shared" si="20"/>
        <v>1515791.1</v>
      </c>
      <c r="J20" s="1516">
        <f t="shared" si="20"/>
        <v>1515791.1</v>
      </c>
      <c r="K20" s="1607">
        <f t="shared" si="20"/>
        <v>733443.04000000015</v>
      </c>
      <c r="L20" s="168">
        <f t="shared" si="20"/>
        <v>-1324804.7999999998</v>
      </c>
      <c r="M20" s="1516">
        <f t="shared" si="20"/>
        <v>-1324804.7999999998</v>
      </c>
    </row>
    <row r="21" spans="1:15" ht="72.75" customHeight="1">
      <c r="A21" s="192"/>
      <c r="B21" s="170">
        <v>7</v>
      </c>
      <c r="C21" s="1549">
        <v>11001</v>
      </c>
      <c r="D21" s="179" t="s">
        <v>277</v>
      </c>
      <c r="E21" s="1532">
        <v>478844.28</v>
      </c>
      <c r="F21" s="1509">
        <v>361660.37</v>
      </c>
      <c r="G21" s="1602">
        <f>'[1]1'!N17</f>
        <v>423154.3</v>
      </c>
      <c r="H21" s="1513">
        <f>'N 9-1'!S10</f>
        <v>546828.93999999994</v>
      </c>
      <c r="I21" s="208">
        <v>0</v>
      </c>
      <c r="J21" s="1514"/>
      <c r="K21" s="1605">
        <f t="shared" ref="K21:K33" si="21">H21-G21</f>
        <v>123674.63999999996</v>
      </c>
      <c r="L21" s="208">
        <f t="shared" ref="L21:L33" si="22">I21-G21</f>
        <v>-423154.3</v>
      </c>
      <c r="M21" s="1514">
        <f t="shared" ref="M21:M33" si="23">J21-G21</f>
        <v>-423154.3</v>
      </c>
    </row>
    <row r="22" spans="1:15" ht="23.25" customHeight="1">
      <c r="A22" s="193"/>
      <c r="B22" s="170">
        <v>8</v>
      </c>
      <c r="C22" s="1549">
        <v>11002</v>
      </c>
      <c r="D22" s="179" t="s">
        <v>239</v>
      </c>
      <c r="E22" s="1532">
        <v>800</v>
      </c>
      <c r="F22" s="1509">
        <v>114375.76</v>
      </c>
      <c r="G22" s="1602">
        <f>'[1]1'!N18</f>
        <v>208238.5</v>
      </c>
      <c r="H22" s="1513">
        <v>216804.1</v>
      </c>
      <c r="I22" s="208">
        <v>216804.1</v>
      </c>
      <c r="J22" s="1514">
        <v>216804.1</v>
      </c>
      <c r="K22" s="1605">
        <f t="shared" si="21"/>
        <v>8565.6000000000058</v>
      </c>
      <c r="L22" s="208">
        <f t="shared" si="22"/>
        <v>8565.6000000000058</v>
      </c>
      <c r="M22" s="1514">
        <f t="shared" si="23"/>
        <v>8565.6000000000058</v>
      </c>
    </row>
    <row r="23" spans="1:15" ht="32.25" customHeight="1">
      <c r="A23" s="194"/>
      <c r="B23" s="170">
        <v>9</v>
      </c>
      <c r="C23" s="1549">
        <v>11003</v>
      </c>
      <c r="D23" s="179" t="s">
        <v>240</v>
      </c>
      <c r="E23" s="1532">
        <v>7590</v>
      </c>
      <c r="F23" s="1509">
        <v>6690</v>
      </c>
      <c r="G23" s="1602">
        <f>'[1]1'!N19</f>
        <v>7624.3</v>
      </c>
      <c r="H23" s="1513">
        <v>7590.4</v>
      </c>
      <c r="I23" s="208">
        <v>7590.4</v>
      </c>
      <c r="J23" s="1514">
        <v>7590.4</v>
      </c>
      <c r="K23" s="1605">
        <f>H23-G23</f>
        <v>-33.900000000000546</v>
      </c>
      <c r="L23" s="208">
        <f t="shared" si="22"/>
        <v>-33.900000000000546</v>
      </c>
      <c r="M23" s="1514">
        <f t="shared" si="23"/>
        <v>-33.900000000000546</v>
      </c>
      <c r="O23" s="207"/>
    </row>
    <row r="24" spans="1:15" ht="47.25" customHeight="1">
      <c r="A24" s="192"/>
      <c r="B24" s="1507">
        <v>10</v>
      </c>
      <c r="C24" s="1549">
        <v>11004</v>
      </c>
      <c r="D24" s="177" t="s">
        <v>241</v>
      </c>
      <c r="E24" s="1526">
        <v>252666.4</v>
      </c>
      <c r="F24" s="1509">
        <v>372692.7</v>
      </c>
      <c r="G24" s="1602">
        <f>'[1]1'!N20</f>
        <v>303897.7</v>
      </c>
      <c r="H24" s="1513">
        <v>303897.7</v>
      </c>
      <c r="I24" s="208">
        <v>303897.7</v>
      </c>
      <c r="J24" s="1514">
        <v>303897.7</v>
      </c>
      <c r="K24" s="1605">
        <f t="shared" si="21"/>
        <v>0</v>
      </c>
      <c r="L24" s="208">
        <f t="shared" si="22"/>
        <v>0</v>
      </c>
      <c r="M24" s="1514">
        <f t="shared" si="23"/>
        <v>0</v>
      </c>
    </row>
    <row r="25" spans="1:15" ht="45.75" customHeight="1">
      <c r="A25" s="193"/>
      <c r="B25" s="1507">
        <v>11</v>
      </c>
      <c r="C25" s="1549">
        <v>11005</v>
      </c>
      <c r="D25" s="179" t="s">
        <v>242</v>
      </c>
      <c r="E25" s="1532">
        <v>136209.20000000001</v>
      </c>
      <c r="F25" s="1509">
        <v>201475.3</v>
      </c>
      <c r="G25" s="1602">
        <f>'[1]1'!N21</f>
        <v>164366.29999999999</v>
      </c>
      <c r="H25" s="1513">
        <v>164366.29999999999</v>
      </c>
      <c r="I25" s="208">
        <v>164366.29999999999</v>
      </c>
      <c r="J25" s="1514">
        <v>164366.29999999999</v>
      </c>
      <c r="K25" s="1605">
        <f t="shared" si="21"/>
        <v>0</v>
      </c>
      <c r="L25" s="208">
        <f t="shared" si="22"/>
        <v>0</v>
      </c>
      <c r="M25" s="1514">
        <f t="shared" si="23"/>
        <v>0</v>
      </c>
    </row>
    <row r="26" spans="1:15" ht="48" customHeight="1">
      <c r="A26" s="193"/>
      <c r="B26" s="1507">
        <v>12</v>
      </c>
      <c r="C26" s="1549">
        <v>11006</v>
      </c>
      <c r="D26" s="179" t="s">
        <v>243</v>
      </c>
      <c r="E26" s="1532">
        <v>140288</v>
      </c>
      <c r="F26" s="1509">
        <v>190339.5</v>
      </c>
      <c r="G26" s="1602">
        <f>'[1]1'!N22</f>
        <v>169254.1</v>
      </c>
      <c r="H26" s="1513">
        <v>388284.1</v>
      </c>
      <c r="I26" s="208">
        <v>388284.1</v>
      </c>
      <c r="J26" s="1514">
        <v>388284.1</v>
      </c>
      <c r="K26" s="1605">
        <f t="shared" si="21"/>
        <v>219029.99999999997</v>
      </c>
      <c r="L26" s="208">
        <f t="shared" si="22"/>
        <v>219029.99999999997</v>
      </c>
      <c r="M26" s="1514">
        <f t="shared" si="23"/>
        <v>219029.99999999997</v>
      </c>
    </row>
    <row r="27" spans="1:15" ht="33.75" customHeight="1">
      <c r="A27" s="193"/>
      <c r="B27" s="1507">
        <v>13</v>
      </c>
      <c r="C27" s="1549">
        <v>11007</v>
      </c>
      <c r="D27" s="179" t="s">
        <v>244</v>
      </c>
      <c r="E27" s="1532">
        <v>127406.1</v>
      </c>
      <c r="F27" s="1509">
        <v>188497.7</v>
      </c>
      <c r="G27" s="1602">
        <f>'[1]1'!N23</f>
        <v>152887.29999999999</v>
      </c>
      <c r="H27" s="1513">
        <v>171532.79999999999</v>
      </c>
      <c r="I27" s="208">
        <v>171532.79999999999</v>
      </c>
      <c r="J27" s="1514">
        <v>171532.79999999999</v>
      </c>
      <c r="K27" s="1605">
        <f t="shared" si="21"/>
        <v>18645.5</v>
      </c>
      <c r="L27" s="208">
        <f t="shared" si="22"/>
        <v>18645.5</v>
      </c>
      <c r="M27" s="1514">
        <f t="shared" si="23"/>
        <v>18645.5</v>
      </c>
    </row>
    <row r="28" spans="1:15" ht="47.25" customHeight="1">
      <c r="A28" s="193"/>
      <c r="B28" s="1507">
        <v>14</v>
      </c>
      <c r="C28" s="1549">
        <v>11008</v>
      </c>
      <c r="D28" s="179" t="s">
        <v>341</v>
      </c>
      <c r="E28" s="1532">
        <v>44700</v>
      </c>
      <c r="F28" s="1509">
        <v>73869.100000000006</v>
      </c>
      <c r="G28" s="1602">
        <f>'[1]1'!N24</f>
        <v>55404.9</v>
      </c>
      <c r="H28" s="1513">
        <v>70764.899999999994</v>
      </c>
      <c r="I28" s="208">
        <v>70764.899999999994</v>
      </c>
      <c r="J28" s="1514">
        <v>70764.899999999994</v>
      </c>
      <c r="K28" s="1605">
        <f t="shared" si="21"/>
        <v>15359.999999999993</v>
      </c>
      <c r="L28" s="208">
        <f t="shared" si="22"/>
        <v>15359.999999999993</v>
      </c>
      <c r="M28" s="1514">
        <f t="shared" si="23"/>
        <v>15359.999999999993</v>
      </c>
    </row>
    <row r="29" spans="1:15" ht="42.75" customHeight="1">
      <c r="A29" s="193"/>
      <c r="B29" s="1508">
        <v>15</v>
      </c>
      <c r="C29" s="1550">
        <v>11009</v>
      </c>
      <c r="D29" s="181" t="s">
        <v>342</v>
      </c>
      <c r="E29" s="1533">
        <v>15603.8</v>
      </c>
      <c r="F29" s="1509">
        <v>15102.2</v>
      </c>
      <c r="G29" s="1602">
        <f>'[1]1'!N25</f>
        <v>16026.6</v>
      </c>
      <c r="H29" s="1513">
        <v>16026.6</v>
      </c>
      <c r="I29" s="208">
        <v>16026.6</v>
      </c>
      <c r="J29" s="1514">
        <v>16026.6</v>
      </c>
      <c r="K29" s="1605">
        <f t="shared" si="21"/>
        <v>0</v>
      </c>
      <c r="L29" s="208">
        <f t="shared" si="22"/>
        <v>0</v>
      </c>
      <c r="M29" s="1514">
        <f t="shared" si="23"/>
        <v>0</v>
      </c>
    </row>
    <row r="30" spans="1:15" ht="46.5" customHeight="1">
      <c r="A30" s="193"/>
      <c r="B30" s="1507">
        <v>16</v>
      </c>
      <c r="C30" s="1549">
        <v>11010</v>
      </c>
      <c r="D30" s="179" t="s">
        <v>245</v>
      </c>
      <c r="E30" s="1532">
        <v>141270.20000000001</v>
      </c>
      <c r="F30" s="1509">
        <v>201288.2</v>
      </c>
      <c r="G30" s="1602">
        <f>'[1]1'!N26</f>
        <v>169524.2</v>
      </c>
      <c r="H30" s="1513">
        <v>169524.2</v>
      </c>
      <c r="I30" s="208">
        <v>169524.2</v>
      </c>
      <c r="J30" s="1514">
        <v>169524.2</v>
      </c>
      <c r="K30" s="1605">
        <f t="shared" si="21"/>
        <v>0</v>
      </c>
      <c r="L30" s="208">
        <f t="shared" si="22"/>
        <v>0</v>
      </c>
      <c r="M30" s="1514">
        <f t="shared" si="23"/>
        <v>0</v>
      </c>
    </row>
    <row r="31" spans="1:15" ht="50.25" customHeight="1">
      <c r="A31" s="193"/>
      <c r="B31" s="1507">
        <v>17</v>
      </c>
      <c r="C31" s="1549">
        <v>12001</v>
      </c>
      <c r="D31" s="177" t="s">
        <v>19</v>
      </c>
      <c r="E31" s="1526">
        <v>7000</v>
      </c>
      <c r="F31" s="1509">
        <v>7000</v>
      </c>
      <c r="G31" s="1602">
        <f>'[1]1'!N27</f>
        <v>7000</v>
      </c>
      <c r="H31" s="1513">
        <v>7000</v>
      </c>
      <c r="I31" s="208">
        <v>7000</v>
      </c>
      <c r="J31" s="1514">
        <v>7000</v>
      </c>
      <c r="K31" s="1605">
        <f t="shared" si="21"/>
        <v>0</v>
      </c>
      <c r="L31" s="208">
        <f t="shared" si="22"/>
        <v>0</v>
      </c>
      <c r="M31" s="1514">
        <f t="shared" si="23"/>
        <v>0</v>
      </c>
    </row>
    <row r="32" spans="1:15" ht="84.75" customHeight="1">
      <c r="A32" s="193"/>
      <c r="B32" s="1507">
        <v>18</v>
      </c>
      <c r="C32" s="1549">
        <v>12002</v>
      </c>
      <c r="D32" s="179" t="s">
        <v>276</v>
      </c>
      <c r="E32" s="1532">
        <v>120700</v>
      </c>
      <c r="F32" s="1509">
        <v>0</v>
      </c>
      <c r="G32" s="1602">
        <f>'[1]1'!N28</f>
        <v>493680</v>
      </c>
      <c r="H32" s="1509">
        <f>'N 9-1'!S14</f>
        <v>516632.78</v>
      </c>
      <c r="I32" s="208">
        <v>0</v>
      </c>
      <c r="J32" s="1514"/>
      <c r="K32" s="1605">
        <f t="shared" si="21"/>
        <v>22952.780000000028</v>
      </c>
      <c r="L32" s="208">
        <f t="shared" si="22"/>
        <v>-493680</v>
      </c>
      <c r="M32" s="1514">
        <f t="shared" si="23"/>
        <v>-493680</v>
      </c>
    </row>
    <row r="33" spans="1:14" ht="82.5" customHeight="1">
      <c r="A33" s="194"/>
      <c r="B33" s="1507">
        <v>19</v>
      </c>
      <c r="C33" s="1549">
        <v>32001</v>
      </c>
      <c r="D33" s="182" t="s">
        <v>275</v>
      </c>
      <c r="E33" s="1532">
        <v>117290</v>
      </c>
      <c r="F33" s="1509">
        <v>2994.53</v>
      </c>
      <c r="G33" s="1602">
        <f>'[1]1'!N29</f>
        <v>669537.69999999995</v>
      </c>
      <c r="H33" s="1509">
        <f>'N 9-1'!S17</f>
        <v>994786.12000000011</v>
      </c>
      <c r="I33" s="208"/>
      <c r="J33" s="1514"/>
      <c r="K33" s="1605">
        <f t="shared" si="21"/>
        <v>325248.42000000016</v>
      </c>
      <c r="L33" s="208">
        <f t="shared" si="22"/>
        <v>-669537.69999999995</v>
      </c>
      <c r="M33" s="1514">
        <f t="shared" si="23"/>
        <v>-669537.69999999995</v>
      </c>
    </row>
    <row r="34" spans="1:14" s="660" customFormat="1" ht="22.5" customHeight="1">
      <c r="A34" s="1551" t="s">
        <v>247</v>
      </c>
      <c r="B34" s="163"/>
      <c r="C34" s="1542"/>
      <c r="D34" s="1539" t="s">
        <v>248</v>
      </c>
      <c r="E34" s="1527">
        <f>SUM(E35:E43)</f>
        <v>606541.4</v>
      </c>
      <c r="F34" s="1511">
        <f>SUM(F35:F43)</f>
        <v>1762448.7199999997</v>
      </c>
      <c r="G34" s="1599">
        <f t="shared" ref="G34:M34" si="24">SUM(G35:G43)</f>
        <v>2302948.3999999994</v>
      </c>
      <c r="H34" s="1511">
        <f>SUM(H35:H43)</f>
        <v>4825202.8397615999</v>
      </c>
      <c r="I34" s="164">
        <f t="shared" si="24"/>
        <v>4908135.9665561598</v>
      </c>
      <c r="J34" s="1512">
        <f t="shared" si="24"/>
        <v>4754311.3229616005</v>
      </c>
      <c r="K34" s="1606">
        <f t="shared" si="24"/>
        <v>2522254.4397616</v>
      </c>
      <c r="L34" s="164">
        <f t="shared" si="24"/>
        <v>2605187.5665561599</v>
      </c>
      <c r="M34" s="1512">
        <f t="shared" si="24"/>
        <v>2451362.9229615997</v>
      </c>
    </row>
    <row r="35" spans="1:14" ht="43.5" customHeight="1">
      <c r="A35" s="1500"/>
      <c r="B35" s="1506">
        <v>20</v>
      </c>
      <c r="C35" s="1546">
        <v>11001</v>
      </c>
      <c r="D35" s="179" t="s">
        <v>249</v>
      </c>
      <c r="E35" s="1528">
        <v>58992.1</v>
      </c>
      <c r="F35" s="1523">
        <v>170293.17</v>
      </c>
      <c r="G35" s="1600">
        <f>'[1]1'!N31</f>
        <v>251232.2</v>
      </c>
      <c r="H35" s="1513">
        <f>Antarkomite!G14</f>
        <v>255191.03976159997</v>
      </c>
      <c r="I35" s="208">
        <f>Antarkomite!K14</f>
        <v>256800.76655616</v>
      </c>
      <c r="J35" s="1514">
        <f>Antarkomite!L14</f>
        <v>258580.52296159993</v>
      </c>
      <c r="K35" s="1605">
        <f t="shared" ref="K35:K43" si="25">H35-G35</f>
        <v>3958.8397615999565</v>
      </c>
      <c r="L35" s="208">
        <f t="shared" ref="L35:L43" si="26">I35-G35</f>
        <v>5568.566556159989</v>
      </c>
      <c r="M35" s="1514">
        <f t="shared" ref="M35:M43" si="27">J35-G35</f>
        <v>7348.3229615999153</v>
      </c>
    </row>
    <row r="36" spans="1:14" ht="19.5" customHeight="1">
      <c r="A36" s="1502"/>
      <c r="B36" s="1506">
        <v>21</v>
      </c>
      <c r="C36" s="1546">
        <v>11002</v>
      </c>
      <c r="D36" s="179" t="s">
        <v>28</v>
      </c>
      <c r="E36" s="1528">
        <v>475554.8</v>
      </c>
      <c r="F36" s="1523">
        <v>1170656.3</v>
      </c>
      <c r="G36" s="1600">
        <f>'[1]1'!N32</f>
        <v>1335485.8999999999</v>
      </c>
      <c r="H36" s="1513">
        <v>1850350.2</v>
      </c>
      <c r="I36" s="208">
        <v>1850350.2</v>
      </c>
      <c r="J36" s="1514">
        <v>1850350.2</v>
      </c>
      <c r="K36" s="1605">
        <f t="shared" si="25"/>
        <v>514864.30000000005</v>
      </c>
      <c r="L36" s="208">
        <f t="shared" si="26"/>
        <v>514864.30000000005</v>
      </c>
      <c r="M36" s="1514">
        <f t="shared" si="27"/>
        <v>514864.30000000005</v>
      </c>
    </row>
    <row r="37" spans="1:14" ht="19.5" customHeight="1">
      <c r="A37" s="1502"/>
      <c r="B37" s="1506">
        <v>22</v>
      </c>
      <c r="C37" s="1546">
        <v>11003</v>
      </c>
      <c r="D37" s="179" t="s">
        <v>250</v>
      </c>
      <c r="E37" s="1528"/>
      <c r="F37" s="1523">
        <v>11975.67</v>
      </c>
      <c r="G37" s="1600">
        <f>'[1]1'!N33</f>
        <v>15000</v>
      </c>
      <c r="H37" s="1513">
        <v>15000</v>
      </c>
      <c r="I37" s="208">
        <v>15000</v>
      </c>
      <c r="J37" s="1514">
        <v>15000</v>
      </c>
      <c r="K37" s="1605">
        <f t="shared" si="25"/>
        <v>0</v>
      </c>
      <c r="L37" s="208">
        <f t="shared" si="26"/>
        <v>0</v>
      </c>
      <c r="M37" s="1514">
        <f t="shared" si="27"/>
        <v>0</v>
      </c>
    </row>
    <row r="38" spans="1:14" ht="19.5" customHeight="1">
      <c r="A38" s="1502"/>
      <c r="B38" s="1506">
        <v>23</v>
      </c>
      <c r="C38" s="1552">
        <v>11004</v>
      </c>
      <c r="D38" s="178" t="s">
        <v>251</v>
      </c>
      <c r="E38" s="1534"/>
      <c r="F38" s="1525">
        <v>10422</v>
      </c>
      <c r="G38" s="1600">
        <f>'[1]1'!N34</f>
        <v>43710.9</v>
      </c>
      <c r="H38" s="1513">
        <v>76800</v>
      </c>
      <c r="I38" s="208">
        <v>76800</v>
      </c>
      <c r="J38" s="1514">
        <v>76800</v>
      </c>
      <c r="K38" s="1605">
        <f t="shared" si="25"/>
        <v>33089.1</v>
      </c>
      <c r="L38" s="208">
        <f t="shared" si="26"/>
        <v>33089.1</v>
      </c>
      <c r="M38" s="1514">
        <f t="shared" si="27"/>
        <v>33089.1</v>
      </c>
    </row>
    <row r="39" spans="1:14" ht="19.5" customHeight="1">
      <c r="A39" s="1501"/>
      <c r="B39" s="1506">
        <v>24</v>
      </c>
      <c r="C39" s="1546">
        <v>11005</v>
      </c>
      <c r="D39" s="179" t="s">
        <v>252</v>
      </c>
      <c r="E39" s="1528">
        <v>53325.8</v>
      </c>
      <c r="F39" s="1523">
        <v>49293.9</v>
      </c>
      <c r="G39" s="1600">
        <f>'[1]1'!N35</f>
        <v>53325.8</v>
      </c>
      <c r="H39" s="1513">
        <v>53325.8</v>
      </c>
      <c r="I39" s="208">
        <v>53325.8</v>
      </c>
      <c r="J39" s="1514">
        <v>53325.8</v>
      </c>
      <c r="K39" s="1605">
        <f t="shared" si="25"/>
        <v>0</v>
      </c>
      <c r="L39" s="208">
        <f t="shared" si="26"/>
        <v>0</v>
      </c>
      <c r="M39" s="1514">
        <f t="shared" si="27"/>
        <v>0</v>
      </c>
    </row>
    <row r="40" spans="1:14" ht="33" customHeight="1">
      <c r="A40" s="1500"/>
      <c r="B40" s="1506"/>
      <c r="C40" s="1546">
        <v>31001</v>
      </c>
      <c r="D40" s="179" t="s">
        <v>265</v>
      </c>
      <c r="E40" s="1528">
        <v>18668.7</v>
      </c>
      <c r="F40" s="1523">
        <v>3499.5</v>
      </c>
      <c r="G40" s="1600">
        <f>'[1]1'!N36</f>
        <v>3552.8</v>
      </c>
      <c r="H40" s="1513">
        <v>0</v>
      </c>
      <c r="I40" s="208">
        <v>0</v>
      </c>
      <c r="J40" s="1514">
        <v>0</v>
      </c>
      <c r="K40" s="1605">
        <f t="shared" si="25"/>
        <v>-3552.8</v>
      </c>
      <c r="L40" s="208">
        <f t="shared" si="26"/>
        <v>-3552.8</v>
      </c>
      <c r="M40" s="1514">
        <f t="shared" si="27"/>
        <v>-3552.8</v>
      </c>
    </row>
    <row r="41" spans="1:14" ht="33" customHeight="1">
      <c r="A41" s="1501"/>
      <c r="B41" s="1506"/>
      <c r="C41" s="1553">
        <v>31003</v>
      </c>
      <c r="D41" s="179" t="s">
        <v>266</v>
      </c>
      <c r="E41" s="1528"/>
      <c r="F41" s="1523">
        <v>0</v>
      </c>
      <c r="G41" s="1600">
        <f>'[1]1'!N37</f>
        <v>61126</v>
      </c>
      <c r="H41" s="1513">
        <v>0</v>
      </c>
      <c r="I41" s="208">
        <v>0</v>
      </c>
      <c r="J41" s="1514">
        <v>0</v>
      </c>
      <c r="K41" s="1605">
        <f t="shared" si="25"/>
        <v>-61126</v>
      </c>
      <c r="L41" s="208">
        <f t="shared" si="26"/>
        <v>-61126</v>
      </c>
      <c r="M41" s="1514">
        <f t="shared" si="27"/>
        <v>-61126</v>
      </c>
    </row>
    <row r="42" spans="1:14" ht="33" customHeight="1">
      <c r="A42" s="1502"/>
      <c r="B42" s="166">
        <v>25</v>
      </c>
      <c r="C42" s="1546">
        <v>32001</v>
      </c>
      <c r="D42" s="179" t="s">
        <v>253</v>
      </c>
      <c r="E42" s="1528">
        <v>0</v>
      </c>
      <c r="F42" s="1523">
        <v>346308.18</v>
      </c>
      <c r="G42" s="1600">
        <f>'[1]1'!N38</f>
        <v>413781.5</v>
      </c>
      <c r="H42" s="1513">
        <v>2381608.7000000002</v>
      </c>
      <c r="I42" s="658">
        <v>2405032.7999999998</v>
      </c>
      <c r="J42" s="1517">
        <v>2248867.9</v>
      </c>
      <c r="K42" s="1605">
        <f t="shared" si="25"/>
        <v>1967827.2000000002</v>
      </c>
      <c r="L42" s="208">
        <f t="shared" si="26"/>
        <v>1991251.2999999998</v>
      </c>
      <c r="M42" s="1514">
        <f t="shared" si="27"/>
        <v>1835086.4</v>
      </c>
    </row>
    <row r="43" spans="1:14" ht="21" customHeight="1">
      <c r="A43" s="1501"/>
      <c r="B43" s="166">
        <v>26</v>
      </c>
      <c r="C43" s="1546">
        <v>32002</v>
      </c>
      <c r="D43" s="179" t="s">
        <v>29</v>
      </c>
      <c r="E43" s="1528">
        <v>0</v>
      </c>
      <c r="F43" s="1523">
        <v>0</v>
      </c>
      <c r="G43" s="1600">
        <f>'[1]1'!N39</f>
        <v>125733.3</v>
      </c>
      <c r="H43" s="1513">
        <v>192927.1</v>
      </c>
      <c r="I43" s="658">
        <v>250826.4</v>
      </c>
      <c r="J43" s="1517">
        <v>251386.9</v>
      </c>
      <c r="K43" s="1605">
        <f t="shared" si="25"/>
        <v>67193.8</v>
      </c>
      <c r="L43" s="208">
        <f t="shared" si="26"/>
        <v>125093.09999999999</v>
      </c>
      <c r="M43" s="1514">
        <f t="shared" si="27"/>
        <v>125653.59999999999</v>
      </c>
    </row>
    <row r="44" spans="1:14" s="660" customFormat="1" ht="33.75" customHeight="1">
      <c r="A44" s="1541" t="s">
        <v>254</v>
      </c>
      <c r="B44" s="163"/>
      <c r="C44" s="1542"/>
      <c r="D44" s="1539" t="s">
        <v>255</v>
      </c>
      <c r="E44" s="1527">
        <f>SUM(E45:E46)</f>
        <v>292281</v>
      </c>
      <c r="F44" s="1511">
        <f>SUM(F45:F46)</f>
        <v>340305.2</v>
      </c>
      <c r="G44" s="1599">
        <f t="shared" ref="G44:I44" si="28">SUM(G45:G46)</f>
        <v>353377.10000000003</v>
      </c>
      <c r="H44" s="1511">
        <f t="shared" si="28"/>
        <v>345322.3</v>
      </c>
      <c r="I44" s="164">
        <f t="shared" si="28"/>
        <v>345322.3</v>
      </c>
      <c r="J44" s="1512">
        <f>SUM(J45:J46)</f>
        <v>345322.3</v>
      </c>
      <c r="K44" s="1606">
        <f t="shared" ref="K44:M44" si="29">SUM(K45:K46)</f>
        <v>-8054.8000000000029</v>
      </c>
      <c r="L44" s="164">
        <f t="shared" si="29"/>
        <v>-8054.8000000000029</v>
      </c>
      <c r="M44" s="1512">
        <f t="shared" si="29"/>
        <v>-8054.8000000000029</v>
      </c>
    </row>
    <row r="45" spans="1:14" ht="28.5" customHeight="1">
      <c r="A45" s="1725"/>
      <c r="B45" s="166">
        <v>27</v>
      </c>
      <c r="C45" s="1546">
        <v>11001</v>
      </c>
      <c r="D45" s="183" t="s">
        <v>255</v>
      </c>
      <c r="E45" s="1528">
        <v>40274</v>
      </c>
      <c r="F45" s="1523">
        <v>37895.9</v>
      </c>
      <c r="G45" s="1600">
        <f>'[1]1'!N41</f>
        <v>50604.9</v>
      </c>
      <c r="H45" s="1509">
        <v>42550.1</v>
      </c>
      <c r="I45" s="171">
        <v>42550.1</v>
      </c>
      <c r="J45" s="1510">
        <v>42550.1</v>
      </c>
      <c r="K45" s="1605">
        <f t="shared" ref="K45" si="30">H45-G45</f>
        <v>-8054.8000000000029</v>
      </c>
      <c r="L45" s="208">
        <f t="shared" ref="L45" si="31">I45-G45</f>
        <v>-8054.8000000000029</v>
      </c>
      <c r="M45" s="1514">
        <f t="shared" ref="M45" si="32">J45-G45</f>
        <v>-8054.8000000000029</v>
      </c>
    </row>
    <row r="46" spans="1:14" ht="21" customHeight="1">
      <c r="A46" s="1726"/>
      <c r="B46" s="166">
        <v>28</v>
      </c>
      <c r="C46" s="1546">
        <v>11002</v>
      </c>
      <c r="D46" s="178" t="s">
        <v>256</v>
      </c>
      <c r="E46" s="1530">
        <v>252007</v>
      </c>
      <c r="F46" s="1523">
        <v>302409.3</v>
      </c>
      <c r="G46" s="1600">
        <f>'[1]1'!N42</f>
        <v>302772.2</v>
      </c>
      <c r="H46" s="1513">
        <v>302772.2</v>
      </c>
      <c r="I46" s="208">
        <v>302772.2</v>
      </c>
      <c r="J46" s="1514">
        <v>302772.2</v>
      </c>
      <c r="K46" s="1605">
        <f t="shared" ref="K46" si="33">H46-G46</f>
        <v>0</v>
      </c>
      <c r="L46" s="208">
        <f t="shared" ref="L46" si="34">I46-G46</f>
        <v>0</v>
      </c>
      <c r="M46" s="1514">
        <f t="shared" ref="M46" si="35">J46-G46</f>
        <v>0</v>
      </c>
    </row>
    <row r="47" spans="1:14" s="662" customFormat="1" ht="21.75" customHeight="1">
      <c r="A47" s="1541">
        <v>1020</v>
      </c>
      <c r="B47" s="163"/>
      <c r="C47" s="1542"/>
      <c r="D47" s="1539" t="s">
        <v>273</v>
      </c>
      <c r="E47" s="1535"/>
      <c r="F47" s="1511">
        <f>SUM(F48:F49)</f>
        <v>1274206.1000000001</v>
      </c>
      <c r="G47" s="1599">
        <f t="shared" ref="G47:M47" si="36">SUM(G48:G49)</f>
        <v>1313140.5</v>
      </c>
      <c r="H47" s="1511">
        <f t="shared" si="36"/>
        <v>1352300</v>
      </c>
      <c r="I47" s="164">
        <f t="shared" si="36"/>
        <v>1352300</v>
      </c>
      <c r="J47" s="1512">
        <f t="shared" si="36"/>
        <v>1352300</v>
      </c>
      <c r="K47" s="1606">
        <f t="shared" si="36"/>
        <v>39159.5</v>
      </c>
      <c r="L47" s="164">
        <f t="shared" si="36"/>
        <v>39159.5</v>
      </c>
      <c r="M47" s="1512">
        <f t="shared" si="36"/>
        <v>39159.5</v>
      </c>
      <c r="N47" s="661"/>
    </row>
    <row r="48" spans="1:14" ht="27" customHeight="1" thickBot="1">
      <c r="A48" s="1554"/>
      <c r="B48" s="1555">
        <v>29</v>
      </c>
      <c r="C48" s="1556">
        <v>11001</v>
      </c>
      <c r="D48" s="206" t="s">
        <v>273</v>
      </c>
      <c r="E48" s="1536"/>
      <c r="F48" s="1518">
        <v>1274206.1000000001</v>
      </c>
      <c r="G48" s="1603">
        <v>1313140.5</v>
      </c>
      <c r="H48" s="1518">
        <v>1352300</v>
      </c>
      <c r="I48" s="1519">
        <v>1352300</v>
      </c>
      <c r="J48" s="1520">
        <v>1352300</v>
      </c>
      <c r="K48" s="1608">
        <f>H48-G48</f>
        <v>39159.5</v>
      </c>
      <c r="L48" s="1521">
        <f t="shared" ref="L48" si="37">I48-G48</f>
        <v>39159.5</v>
      </c>
      <c r="M48" s="1522">
        <f t="shared" ref="M48" si="38">J48-G48</f>
        <v>39159.5</v>
      </c>
      <c r="N48" s="209"/>
    </row>
    <row r="49" spans="1:13" ht="26.25" customHeight="1"/>
    <row r="50" spans="1:13" ht="80.25" customHeight="1">
      <c r="B50" s="1745" t="s">
        <v>343</v>
      </c>
      <c r="C50" s="1745"/>
      <c r="D50" s="1745"/>
      <c r="E50" s="1745"/>
      <c r="F50" s="1745"/>
      <c r="G50" s="1745"/>
      <c r="H50" s="1745"/>
      <c r="I50" s="1745"/>
      <c r="J50" s="1745"/>
      <c r="K50" s="1745"/>
      <c r="L50" s="1745"/>
      <c r="M50" s="172"/>
    </row>
    <row r="51" spans="1:13" ht="36" customHeight="1">
      <c r="H51" s="659">
        <f>H47+H44+H34+H20+H18+H14+H11</f>
        <v>12578556.091268545</v>
      </c>
    </row>
    <row r="52" spans="1:13" ht="21" customHeight="1"/>
    <row r="53" spans="1:13" ht="26.25" customHeight="1"/>
    <row r="54" spans="1:13" ht="38.25" customHeight="1"/>
    <row r="55" spans="1:13" ht="33" customHeight="1">
      <c r="E55" s="176"/>
      <c r="F55" s="1737"/>
      <c r="G55" s="1737"/>
      <c r="H55" s="1737"/>
      <c r="I55" s="1737"/>
      <c r="J55" s="1737"/>
      <c r="K55" s="207"/>
      <c r="L55" s="207"/>
      <c r="M55" s="207"/>
    </row>
    <row r="56" spans="1:13" ht="48.75" customHeight="1">
      <c r="E56" s="176"/>
      <c r="F56" s="1737"/>
      <c r="G56" s="1737"/>
      <c r="H56" s="1737"/>
      <c r="I56" s="1737"/>
      <c r="J56" s="1737"/>
      <c r="K56" s="207"/>
      <c r="L56" s="207"/>
      <c r="M56" s="207"/>
    </row>
    <row r="57" spans="1:13" ht="33" customHeight="1">
      <c r="E57" s="176"/>
      <c r="F57" s="1738"/>
      <c r="G57" s="1738"/>
      <c r="H57" s="1738"/>
      <c r="I57" s="1738"/>
      <c r="J57" s="1738"/>
      <c r="K57" s="207"/>
      <c r="L57" s="207"/>
      <c r="M57" s="207"/>
    </row>
    <row r="58" spans="1:13" ht="34.5" customHeight="1">
      <c r="E58" s="176"/>
      <c r="F58" s="1738"/>
      <c r="G58" s="1738"/>
      <c r="H58" s="1738"/>
      <c r="I58" s="1738"/>
      <c r="J58" s="1738"/>
      <c r="K58" s="207"/>
      <c r="L58" s="207"/>
      <c r="M58" s="207"/>
    </row>
    <row r="59" spans="1:13" ht="27.75" customHeight="1">
      <c r="E59" s="176"/>
      <c r="F59" s="1738"/>
      <c r="G59" s="1738"/>
      <c r="H59" s="1738"/>
      <c r="I59" s="1738"/>
      <c r="J59" s="1738"/>
      <c r="K59" s="207"/>
      <c r="L59" s="207"/>
      <c r="M59" s="207"/>
    </row>
    <row r="60" spans="1:13" ht="24.75" customHeight="1"/>
    <row r="62" spans="1:13">
      <c r="A62" s="51"/>
      <c r="B62" s="51"/>
      <c r="C62" s="51"/>
      <c r="D62" s="51"/>
      <c r="E62" s="51"/>
      <c r="F62" s="207"/>
      <c r="G62" s="207"/>
      <c r="K62" s="207"/>
      <c r="L62" s="207"/>
      <c r="M62" s="207"/>
    </row>
    <row r="64" spans="1:13" ht="77.25" customHeight="1"/>
    <row r="65" s="51" customFormat="1" ht="93" customHeight="1"/>
    <row r="66" s="51" customFormat="1" ht="55.5" customHeight="1"/>
  </sheetData>
  <mergeCells count="16">
    <mergeCell ref="F55:J55"/>
    <mergeCell ref="F56:J56"/>
    <mergeCell ref="F57:J59"/>
    <mergeCell ref="A2:M3"/>
    <mergeCell ref="K4:M4"/>
    <mergeCell ref="A12:A13"/>
    <mergeCell ref="A15:A17"/>
    <mergeCell ref="B50:L50"/>
    <mergeCell ref="B6:C10"/>
    <mergeCell ref="A6:A10"/>
    <mergeCell ref="A1:J1"/>
    <mergeCell ref="H4:J4"/>
    <mergeCell ref="A45:A46"/>
    <mergeCell ref="F4:F5"/>
    <mergeCell ref="G4:G5"/>
    <mergeCell ref="A4:C5"/>
  </mergeCells>
  <pageMargins left="0.24" right="0.16" top="0.2" bottom="0.2" header="0.2" footer="0.2"/>
  <pageSetup paperSize="9" scale="80" orientation="landscape" verticalDpi="0" r:id="rId1"/>
  <colBreaks count="1" manualBreakCount="1">
    <brk id="17" min="1" max="72" man="1"/>
  </colBreaks>
  <ignoredErrors>
    <ignoredError sqref="H11:M11 H23:M23 J21:M21 K22:M22 H14:M14 K12:M12 K13:M13 K15:M15 H18:M18 K17:M17 L16:M16 H31:M31 K24:M24 K25:M25 K26:M26 K27:M27 K28:M28 K29:M29 K30:M30 I34:M34 J32:M32 H41:M44 K39:M39 I33:M33 H46:M48 K45:M45 H36:M38 K35:M35 H7:H10 K7:M10 H20:M20 K19:M19 I40:M40" formula="1"/>
    <ignoredError sqref="A18:C18 A20:C20 A19 C19"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V22"/>
  <sheetViews>
    <sheetView topLeftCell="A28" workbookViewId="0">
      <selection activeCell="E5" sqref="E5"/>
    </sheetView>
  </sheetViews>
  <sheetFormatPr defaultRowHeight="15"/>
  <cols>
    <col min="1" max="1" width="5.42578125" customWidth="1"/>
    <col min="3" max="3" width="33.28515625" customWidth="1"/>
    <col min="4" max="4" width="9.85546875" customWidth="1"/>
    <col min="5" max="5" width="9.28515625" customWidth="1"/>
    <col min="6" max="6" width="8" customWidth="1"/>
    <col min="7" max="7" width="10.140625" customWidth="1"/>
    <col min="8" max="8" width="9.42578125" customWidth="1"/>
    <col min="9" max="9" width="8.7109375" customWidth="1"/>
    <col min="10" max="10" width="10.28515625" customWidth="1"/>
    <col min="11" max="11" width="9.85546875" customWidth="1"/>
    <col min="12" max="12" width="9.7109375" customWidth="1"/>
    <col min="13" max="13" width="6.42578125" customWidth="1"/>
    <col min="14" max="15" width="7.28515625" customWidth="1"/>
    <col min="16" max="16" width="6" customWidth="1"/>
    <col min="17" max="17" width="6.42578125" customWidth="1"/>
  </cols>
  <sheetData>
    <row r="1" spans="1:22" ht="39.75" customHeight="1">
      <c r="A1" s="1934" t="s">
        <v>113</v>
      </c>
      <c r="B1" s="1934"/>
      <c r="C1" s="1934"/>
      <c r="D1" s="1934"/>
      <c r="E1" s="1934"/>
      <c r="F1" s="1934"/>
      <c r="G1" s="1934"/>
      <c r="H1" s="1934"/>
      <c r="I1" s="1934"/>
      <c r="J1" s="1934"/>
      <c r="K1" s="1934"/>
      <c r="L1" s="1934"/>
      <c r="M1" s="1934"/>
      <c r="N1" s="1934"/>
      <c r="O1" s="1934"/>
      <c r="P1" s="1934"/>
      <c r="Q1" s="1934"/>
      <c r="R1" s="1934"/>
      <c r="S1" s="409"/>
      <c r="T1" s="409"/>
      <c r="U1" s="409"/>
      <c r="V1" s="409"/>
    </row>
    <row r="2" spans="1:22" ht="14.25" customHeight="1">
      <c r="A2" s="410"/>
      <c r="B2" s="406"/>
      <c r="D2" s="407"/>
      <c r="E2" s="407"/>
      <c r="F2" s="407"/>
      <c r="G2" s="407"/>
      <c r="H2" s="407"/>
      <c r="I2" s="407"/>
      <c r="J2" s="407"/>
      <c r="K2" s="407"/>
      <c r="L2" s="407"/>
      <c r="M2" s="407"/>
      <c r="N2" s="407"/>
      <c r="O2" s="407"/>
      <c r="P2" s="407"/>
      <c r="Q2" s="407"/>
      <c r="R2" s="407"/>
    </row>
    <row r="3" spans="1:22" ht="15.75" customHeight="1">
      <c r="A3" s="1935" t="s">
        <v>6</v>
      </c>
      <c r="B3" s="1935"/>
      <c r="C3" s="1935" t="s">
        <v>7</v>
      </c>
      <c r="D3" s="1935" t="s">
        <v>288</v>
      </c>
      <c r="E3" s="1935"/>
      <c r="F3" s="1935"/>
      <c r="G3" s="1935" t="s">
        <v>289</v>
      </c>
      <c r="H3" s="1935"/>
      <c r="I3" s="1935"/>
      <c r="J3" s="1935" t="s">
        <v>44</v>
      </c>
      <c r="K3" s="1935"/>
      <c r="L3" s="1935"/>
      <c r="M3" s="1935"/>
      <c r="N3" s="1935"/>
      <c r="O3" s="1935"/>
      <c r="P3" s="1935"/>
      <c r="Q3" s="1935"/>
      <c r="R3" s="1935"/>
    </row>
    <row r="4" spans="1:22" ht="15" customHeight="1">
      <c r="A4" s="1935"/>
      <c r="B4" s="1935"/>
      <c r="C4" s="1935"/>
      <c r="D4" s="1935"/>
      <c r="E4" s="1935"/>
      <c r="F4" s="1935"/>
      <c r="G4" s="1935"/>
      <c r="H4" s="1935"/>
      <c r="I4" s="1935"/>
      <c r="J4" s="1935" t="s">
        <v>96</v>
      </c>
      <c r="K4" s="1935"/>
      <c r="L4" s="1935"/>
      <c r="M4" s="1935" t="s">
        <v>97</v>
      </c>
      <c r="N4" s="1935"/>
      <c r="O4" s="1935"/>
      <c r="P4" s="1935" t="s">
        <v>286</v>
      </c>
      <c r="Q4" s="1935"/>
      <c r="R4" s="1935"/>
    </row>
    <row r="5" spans="1:22" ht="93" customHeight="1" thickBot="1">
      <c r="A5" s="1942"/>
      <c r="B5" s="1942"/>
      <c r="C5" s="1942"/>
      <c r="D5" s="515" t="s">
        <v>20</v>
      </c>
      <c r="E5" s="515" t="s">
        <v>108</v>
      </c>
      <c r="F5" s="515" t="s">
        <v>109</v>
      </c>
      <c r="G5" s="515" t="s">
        <v>20</v>
      </c>
      <c r="H5" s="515" t="s">
        <v>108</v>
      </c>
      <c r="I5" s="515" t="s">
        <v>109</v>
      </c>
      <c r="J5" s="515" t="s">
        <v>20</v>
      </c>
      <c r="K5" s="515" t="s">
        <v>108</v>
      </c>
      <c r="L5" s="515" t="s">
        <v>109</v>
      </c>
      <c r="M5" s="515" t="s">
        <v>20</v>
      </c>
      <c r="N5" s="515" t="s">
        <v>108</v>
      </c>
      <c r="O5" s="515" t="s">
        <v>109</v>
      </c>
      <c r="P5" s="515" t="s">
        <v>20</v>
      </c>
      <c r="Q5" s="515" t="s">
        <v>108</v>
      </c>
      <c r="R5" s="515" t="s">
        <v>109</v>
      </c>
    </row>
    <row r="6" spans="1:22" s="990" customFormat="1" ht="24" customHeight="1" thickBot="1">
      <c r="A6" s="516" t="s">
        <v>301</v>
      </c>
      <c r="B6" s="517"/>
      <c r="C6" s="518"/>
      <c r="D6" s="411">
        <f t="shared" ref="D6:R6" si="0">D7+D11+D14</f>
        <v>300830.71000000002</v>
      </c>
      <c r="E6" s="411">
        <f t="shared" si="0"/>
        <v>275561.91000000003</v>
      </c>
      <c r="F6" s="411">
        <f t="shared" si="0"/>
        <v>25268.799999999999</v>
      </c>
      <c r="G6" s="411">
        <f t="shared" si="0"/>
        <v>1586372</v>
      </c>
      <c r="H6" s="411">
        <f t="shared" si="0"/>
        <v>1321976.7</v>
      </c>
      <c r="I6" s="411">
        <f t="shared" si="0"/>
        <v>264395.3</v>
      </c>
      <c r="J6" s="411">
        <f t="shared" si="0"/>
        <v>2058247.8400000003</v>
      </c>
      <c r="K6" s="411">
        <f t="shared" si="0"/>
        <v>1547370.7400000002</v>
      </c>
      <c r="L6" s="411">
        <f t="shared" si="0"/>
        <v>510877.1</v>
      </c>
      <c r="M6" s="411">
        <f t="shared" si="0"/>
        <v>0</v>
      </c>
      <c r="N6" s="411">
        <f t="shared" si="0"/>
        <v>0</v>
      </c>
      <c r="O6" s="411">
        <f t="shared" si="0"/>
        <v>0</v>
      </c>
      <c r="P6" s="411">
        <f t="shared" si="0"/>
        <v>0</v>
      </c>
      <c r="Q6" s="411">
        <f t="shared" si="0"/>
        <v>0</v>
      </c>
      <c r="R6" s="411">
        <f t="shared" si="0"/>
        <v>0</v>
      </c>
    </row>
    <row r="7" spans="1:22" s="406" customFormat="1" ht="102.75" customHeight="1">
      <c r="A7" s="1943">
        <v>1155</v>
      </c>
      <c r="B7" s="1936">
        <v>11001</v>
      </c>
      <c r="C7" s="519" t="s">
        <v>277</v>
      </c>
      <c r="D7" s="520">
        <f>+E7+F7</f>
        <v>175282.26</v>
      </c>
      <c r="E7" s="520">
        <f>+E8+E9</f>
        <v>157498.89000000001</v>
      </c>
      <c r="F7" s="520">
        <f>+F8+F9</f>
        <v>17783.37</v>
      </c>
      <c r="G7" s="520">
        <f>+H7+I7</f>
        <v>423154.3</v>
      </c>
      <c r="H7" s="520">
        <f>+H8+H9</f>
        <v>352628.6</v>
      </c>
      <c r="I7" s="520">
        <f>+I8+I9</f>
        <v>70525.7</v>
      </c>
      <c r="J7" s="520">
        <f>+K7+L7</f>
        <v>546828.94000000018</v>
      </c>
      <c r="K7" s="520">
        <f>+K8+K9</f>
        <v>295475.1100000001</v>
      </c>
      <c r="L7" s="520">
        <f>+L8+L9</f>
        <v>251353.83000000002</v>
      </c>
      <c r="M7" s="521"/>
      <c r="N7" s="521"/>
      <c r="O7" s="521"/>
      <c r="P7" s="521"/>
      <c r="Q7" s="521"/>
      <c r="R7" s="522"/>
    </row>
    <row r="8" spans="1:22">
      <c r="A8" s="1944"/>
      <c r="B8" s="1937"/>
      <c r="C8" s="214"/>
      <c r="D8" s="430"/>
      <c r="E8" s="430"/>
      <c r="F8" s="427"/>
      <c r="G8" s="430"/>
      <c r="H8" s="430"/>
      <c r="I8" s="427"/>
      <c r="J8" s="430"/>
      <c r="K8" s="427"/>
      <c r="L8" s="427"/>
      <c r="M8" s="523"/>
      <c r="N8" s="523"/>
      <c r="O8" s="523"/>
      <c r="P8" s="523"/>
      <c r="Q8" s="523"/>
      <c r="R8" s="524"/>
    </row>
    <row r="9" spans="1:22" ht="15.75" thickBot="1">
      <c r="A9" s="1944"/>
      <c r="B9" s="1938"/>
      <c r="C9" s="513" t="s">
        <v>291</v>
      </c>
      <c r="D9" s="525">
        <f>+E9+F9</f>
        <v>175282.26</v>
      </c>
      <c r="E9" s="439">
        <v>157498.89000000001</v>
      </c>
      <c r="F9" s="436">
        <v>17783.37</v>
      </c>
      <c r="G9" s="525">
        <f>+H9+I9</f>
        <v>423154.3</v>
      </c>
      <c r="H9" s="439">
        <v>352628.6</v>
      </c>
      <c r="I9" s="436">
        <v>70525.7</v>
      </c>
      <c r="J9" s="525">
        <f>+K9+L9</f>
        <v>546828.94000000018</v>
      </c>
      <c r="K9" s="436">
        <v>295475.1100000001</v>
      </c>
      <c r="L9" s="436">
        <v>251353.83000000002</v>
      </c>
      <c r="M9" s="526"/>
      <c r="N9" s="526"/>
      <c r="O9" s="526"/>
      <c r="P9" s="526"/>
      <c r="Q9" s="526"/>
      <c r="R9" s="527"/>
    </row>
    <row r="10" spans="1:22" ht="15.75" thickBot="1">
      <c r="A10" s="1944"/>
      <c r="B10" s="443"/>
      <c r="C10" s="528"/>
      <c r="D10" s="446"/>
      <c r="E10" s="446"/>
      <c r="F10" s="446"/>
      <c r="G10" s="446"/>
      <c r="H10" s="446"/>
      <c r="I10" s="446"/>
      <c r="J10" s="446"/>
      <c r="K10" s="446"/>
      <c r="L10" s="446"/>
      <c r="M10" s="529"/>
      <c r="N10" s="529"/>
      <c r="O10" s="529"/>
      <c r="P10" s="529"/>
      <c r="Q10" s="529"/>
      <c r="R10" s="529"/>
    </row>
    <row r="11" spans="1:22" ht="109.5" customHeight="1">
      <c r="A11" s="1944"/>
      <c r="B11" s="1936">
        <v>12002</v>
      </c>
      <c r="C11" s="519" t="s">
        <v>276</v>
      </c>
      <c r="D11" s="530">
        <f t="shared" ref="D11:L11" si="1">+D12</f>
        <v>70887.22</v>
      </c>
      <c r="E11" s="530">
        <f t="shared" si="1"/>
        <v>63743.38</v>
      </c>
      <c r="F11" s="530">
        <f t="shared" si="1"/>
        <v>7143.84</v>
      </c>
      <c r="G11" s="530">
        <f t="shared" si="1"/>
        <v>493680</v>
      </c>
      <c r="H11" s="530">
        <f t="shared" si="1"/>
        <v>411400</v>
      </c>
      <c r="I11" s="530">
        <f t="shared" si="1"/>
        <v>82280</v>
      </c>
      <c r="J11" s="530">
        <f t="shared" si="1"/>
        <v>516632.78</v>
      </c>
      <c r="K11" s="530">
        <f t="shared" si="1"/>
        <v>425856.62</v>
      </c>
      <c r="L11" s="530">
        <f t="shared" si="1"/>
        <v>90776.16</v>
      </c>
      <c r="M11" s="531"/>
      <c r="N11" s="531"/>
      <c r="O11" s="531"/>
      <c r="P11" s="531"/>
      <c r="Q11" s="531"/>
      <c r="R11" s="532"/>
    </row>
    <row r="12" spans="1:22" ht="15.75" thickBot="1">
      <c r="A12" s="1944"/>
      <c r="B12" s="1938"/>
      <c r="C12" s="513" t="s">
        <v>292</v>
      </c>
      <c r="D12" s="439">
        <f>+E12+F12</f>
        <v>70887.22</v>
      </c>
      <c r="E12" s="439">
        <v>63743.38</v>
      </c>
      <c r="F12" s="436">
        <v>7143.84</v>
      </c>
      <c r="G12" s="439">
        <f>+H12+I12</f>
        <v>493680</v>
      </c>
      <c r="H12" s="439">
        <v>411400</v>
      </c>
      <c r="I12" s="436">
        <v>82280</v>
      </c>
      <c r="J12" s="439">
        <f>+K12+L12</f>
        <v>516632.78</v>
      </c>
      <c r="K12" s="436">
        <v>425856.62</v>
      </c>
      <c r="L12" s="436">
        <v>90776.16</v>
      </c>
      <c r="M12" s="526"/>
      <c r="N12" s="526"/>
      <c r="O12" s="526"/>
      <c r="P12" s="526"/>
      <c r="Q12" s="526"/>
      <c r="R12" s="527"/>
    </row>
    <row r="13" spans="1:22" ht="15.75" thickBot="1">
      <c r="A13" s="1944"/>
      <c r="B13" s="443"/>
      <c r="C13" s="528"/>
      <c r="D13" s="446"/>
      <c r="E13" s="446"/>
      <c r="F13" s="446"/>
      <c r="G13" s="446"/>
      <c r="H13" s="446"/>
      <c r="I13" s="446"/>
      <c r="J13" s="446"/>
      <c r="K13" s="446"/>
      <c r="L13" s="446"/>
      <c r="M13" s="529"/>
      <c r="N13" s="529"/>
      <c r="O13" s="529"/>
      <c r="P13" s="529"/>
      <c r="Q13" s="529"/>
      <c r="R13" s="529"/>
    </row>
    <row r="14" spans="1:22" ht="98.25" customHeight="1">
      <c r="A14" s="1944"/>
      <c r="B14" s="1939">
        <v>32001</v>
      </c>
      <c r="C14" s="519" t="s">
        <v>275</v>
      </c>
      <c r="D14" s="530">
        <f t="shared" ref="D14:L14" si="2">SUM(D15:D22)</f>
        <v>54661.229999999996</v>
      </c>
      <c r="E14" s="530">
        <f t="shared" si="2"/>
        <v>54319.64</v>
      </c>
      <c r="F14" s="530">
        <f t="shared" si="2"/>
        <v>341.59</v>
      </c>
      <c r="G14" s="530">
        <f t="shared" si="2"/>
        <v>669537.70000000007</v>
      </c>
      <c r="H14" s="530">
        <f t="shared" si="2"/>
        <v>557948.1</v>
      </c>
      <c r="I14" s="530">
        <f t="shared" si="2"/>
        <v>111589.59999999999</v>
      </c>
      <c r="J14" s="530">
        <f t="shared" si="2"/>
        <v>994786.12000000011</v>
      </c>
      <c r="K14" s="530">
        <f t="shared" si="2"/>
        <v>826039.01</v>
      </c>
      <c r="L14" s="530">
        <f t="shared" si="2"/>
        <v>168747.11000000002</v>
      </c>
      <c r="M14" s="531"/>
      <c r="N14" s="531"/>
      <c r="O14" s="531"/>
      <c r="P14" s="531"/>
      <c r="Q14" s="531"/>
      <c r="R14" s="532"/>
    </row>
    <row r="15" spans="1:22">
      <c r="A15" s="1944"/>
      <c r="B15" s="1940"/>
      <c r="C15" s="214" t="s">
        <v>293</v>
      </c>
      <c r="D15" s="427">
        <f t="shared" ref="D15:D20" si="3">+E15+F15</f>
        <v>0</v>
      </c>
      <c r="E15" s="427"/>
      <c r="F15" s="427"/>
      <c r="G15" s="427">
        <f t="shared" ref="G15:G22" si="4">+H15+I15</f>
        <v>0</v>
      </c>
      <c r="H15" s="427"/>
      <c r="I15" s="427"/>
      <c r="J15" s="430">
        <f t="shared" ref="J15:J22" si="5">+K15+L15</f>
        <v>16800</v>
      </c>
      <c r="K15" s="427">
        <v>11800</v>
      </c>
      <c r="L15" s="427">
        <v>5000</v>
      </c>
      <c r="M15" s="523"/>
      <c r="N15" s="523"/>
      <c r="O15" s="523"/>
      <c r="P15" s="523"/>
      <c r="Q15" s="523"/>
      <c r="R15" s="524"/>
    </row>
    <row r="16" spans="1:22">
      <c r="A16" s="1944"/>
      <c r="B16" s="1940"/>
      <c r="C16" s="214" t="s">
        <v>294</v>
      </c>
      <c r="D16" s="427">
        <f t="shared" si="3"/>
        <v>0</v>
      </c>
      <c r="E16" s="427"/>
      <c r="F16" s="427"/>
      <c r="G16" s="427">
        <f t="shared" si="4"/>
        <v>175500.80000000002</v>
      </c>
      <c r="H16" s="427">
        <v>146250.70000000001</v>
      </c>
      <c r="I16" s="427">
        <v>29250.1</v>
      </c>
      <c r="J16" s="430">
        <f t="shared" si="5"/>
        <v>269699.20000000001</v>
      </c>
      <c r="K16" s="427">
        <v>224749.3</v>
      </c>
      <c r="L16" s="427">
        <v>44949.9</v>
      </c>
      <c r="M16" s="523"/>
      <c r="N16" s="523"/>
      <c r="O16" s="523"/>
      <c r="P16" s="523"/>
      <c r="Q16" s="523"/>
      <c r="R16" s="524"/>
    </row>
    <row r="17" spans="1:18" ht="25.5">
      <c r="A17" s="1944"/>
      <c r="B17" s="1940"/>
      <c r="C17" s="214" t="s">
        <v>295</v>
      </c>
      <c r="D17" s="427">
        <f t="shared" si="3"/>
        <v>0</v>
      </c>
      <c r="E17" s="427"/>
      <c r="F17" s="427"/>
      <c r="G17" s="427">
        <f t="shared" si="4"/>
        <v>96362.8</v>
      </c>
      <c r="H17" s="427">
        <v>80302.3</v>
      </c>
      <c r="I17" s="427">
        <v>16060.5</v>
      </c>
      <c r="J17" s="430">
        <f t="shared" si="5"/>
        <v>62637.2</v>
      </c>
      <c r="K17" s="427">
        <v>52197.7</v>
      </c>
      <c r="L17" s="427">
        <v>10439.5</v>
      </c>
      <c r="M17" s="523"/>
      <c r="N17" s="523"/>
      <c r="O17" s="523"/>
      <c r="P17" s="523"/>
      <c r="Q17" s="523"/>
      <c r="R17" s="524"/>
    </row>
    <row r="18" spans="1:18" ht="21" customHeight="1">
      <c r="A18" s="1944"/>
      <c r="B18" s="1940"/>
      <c r="C18" s="214" t="s">
        <v>296</v>
      </c>
      <c r="D18" s="427">
        <f t="shared" si="3"/>
        <v>50707.85</v>
      </c>
      <c r="E18" s="427">
        <f>+'[2]2021-2023'!K22</f>
        <v>50707.85</v>
      </c>
      <c r="F18" s="427"/>
      <c r="G18" s="427">
        <f t="shared" si="4"/>
        <v>105788.5</v>
      </c>
      <c r="H18" s="427">
        <v>88157.1</v>
      </c>
      <c r="I18" s="427">
        <v>17631.400000000001</v>
      </c>
      <c r="J18" s="430">
        <f t="shared" si="5"/>
        <v>87570.3</v>
      </c>
      <c r="K18" s="427">
        <v>73135</v>
      </c>
      <c r="L18" s="427">
        <v>14435.3</v>
      </c>
      <c r="M18" s="523"/>
      <c r="N18" s="523"/>
      <c r="O18" s="523"/>
      <c r="P18" s="523"/>
      <c r="Q18" s="523"/>
      <c r="R18" s="524"/>
    </row>
    <row r="19" spans="1:18" ht="18.75" customHeight="1">
      <c r="A19" s="1944"/>
      <c r="B19" s="1940"/>
      <c r="C19" s="214" t="s">
        <v>297</v>
      </c>
      <c r="D19" s="427">
        <f t="shared" si="3"/>
        <v>760</v>
      </c>
      <c r="E19" s="427">
        <v>760</v>
      </c>
      <c r="F19" s="427"/>
      <c r="G19" s="427">
        <f t="shared" si="4"/>
        <v>77924.899999999994</v>
      </c>
      <c r="H19" s="427">
        <v>64937.4</v>
      </c>
      <c r="I19" s="427">
        <v>12987.5</v>
      </c>
      <c r="J19" s="430">
        <f t="shared" si="5"/>
        <v>11042.399999999996</v>
      </c>
      <c r="K19" s="427">
        <v>8643.2999999999956</v>
      </c>
      <c r="L19" s="427">
        <v>2399.1000000000004</v>
      </c>
      <c r="M19" s="523"/>
      <c r="N19" s="523"/>
      <c r="O19" s="523"/>
      <c r="P19" s="523"/>
      <c r="Q19" s="523"/>
      <c r="R19" s="524"/>
    </row>
    <row r="20" spans="1:18">
      <c r="A20" s="1944"/>
      <c r="B20" s="1940"/>
      <c r="C20" s="214" t="s">
        <v>298</v>
      </c>
      <c r="D20" s="427">
        <f t="shared" si="3"/>
        <v>3193.38</v>
      </c>
      <c r="E20" s="427">
        <v>2851.79</v>
      </c>
      <c r="F20" s="427">
        <v>341.59</v>
      </c>
      <c r="G20" s="427">
        <f t="shared" si="4"/>
        <v>117542.9</v>
      </c>
      <c r="H20" s="427">
        <v>97952.4</v>
      </c>
      <c r="I20" s="427">
        <v>19590.5</v>
      </c>
      <c r="J20" s="430">
        <f t="shared" si="5"/>
        <v>420854.82000000007</v>
      </c>
      <c r="K20" s="427">
        <v>350361.91000000003</v>
      </c>
      <c r="L20" s="427">
        <v>70492.91</v>
      </c>
      <c r="M20" s="523"/>
      <c r="N20" s="523"/>
      <c r="O20" s="523"/>
      <c r="P20" s="523"/>
      <c r="Q20" s="523"/>
      <c r="R20" s="524"/>
    </row>
    <row r="21" spans="1:18" ht="25.5">
      <c r="A21" s="1944"/>
      <c r="B21" s="1940"/>
      <c r="C21" s="214" t="s">
        <v>299</v>
      </c>
      <c r="D21" s="427"/>
      <c r="E21" s="427"/>
      <c r="F21" s="427"/>
      <c r="G21" s="427">
        <f t="shared" si="4"/>
        <v>58771.399999999994</v>
      </c>
      <c r="H21" s="427">
        <v>48976.2</v>
      </c>
      <c r="I21" s="427">
        <v>9795.2000000000007</v>
      </c>
      <c r="J21" s="430">
        <f t="shared" si="5"/>
        <v>68428.600000000006</v>
      </c>
      <c r="K21" s="427">
        <v>57023.8</v>
      </c>
      <c r="L21" s="427">
        <v>11404.8</v>
      </c>
      <c r="M21" s="523"/>
      <c r="N21" s="523"/>
      <c r="O21" s="523"/>
      <c r="P21" s="523"/>
      <c r="Q21" s="523"/>
      <c r="R21" s="524"/>
    </row>
    <row r="22" spans="1:18" ht="24.75" customHeight="1" thickBot="1">
      <c r="A22" s="1945"/>
      <c r="B22" s="1941"/>
      <c r="C22" s="513" t="s">
        <v>300</v>
      </c>
      <c r="D22" s="436"/>
      <c r="E22" s="436"/>
      <c r="F22" s="436"/>
      <c r="G22" s="436">
        <f t="shared" si="4"/>
        <v>37646.400000000001</v>
      </c>
      <c r="H22" s="436">
        <v>31372</v>
      </c>
      <c r="I22" s="436">
        <v>6274.4</v>
      </c>
      <c r="J22" s="439">
        <f t="shared" si="5"/>
        <v>57753.599999999999</v>
      </c>
      <c r="K22" s="436">
        <v>48128</v>
      </c>
      <c r="L22" s="436">
        <v>9625.6</v>
      </c>
      <c r="M22" s="526"/>
      <c r="N22" s="526"/>
      <c r="O22" s="526"/>
      <c r="P22" s="526"/>
      <c r="Q22" s="526"/>
      <c r="R22" s="527"/>
    </row>
  </sheetData>
  <mergeCells count="13">
    <mergeCell ref="B7:B9"/>
    <mergeCell ref="B11:B12"/>
    <mergeCell ref="B14:B22"/>
    <mergeCell ref="A3:B5"/>
    <mergeCell ref="C3:C5"/>
    <mergeCell ref="A7:A22"/>
    <mergeCell ref="A1:R1"/>
    <mergeCell ref="D3:F4"/>
    <mergeCell ref="G3:I4"/>
    <mergeCell ref="J3:R3"/>
    <mergeCell ref="J4:L4"/>
    <mergeCell ref="M4:O4"/>
    <mergeCell ref="P4:R4"/>
  </mergeCells>
  <hyperlinks>
    <hyperlink ref="A13" location="_ftnref1" display="_ftnref1"/>
    <hyperlink ref="A14" location="_ftnref2" display="_ftnref2"/>
    <hyperlink ref="C3" location="_ftn2" display="_ftn2"/>
  </hyperlinks>
  <pageMargins left="0.7" right="0.7" top="0.75" bottom="0.75" header="0.3" footer="0.3"/>
  <ignoredErrors>
    <ignoredError sqref="G7:J1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E71"/>
  <sheetViews>
    <sheetView topLeftCell="I9" workbookViewId="0">
      <selection activeCell="T11" sqref="T11:U12"/>
    </sheetView>
  </sheetViews>
  <sheetFormatPr defaultRowHeight="15"/>
  <cols>
    <col min="1" max="1" width="5.85546875" style="407" customWidth="1"/>
    <col min="2" max="2" width="7.140625" style="407" customWidth="1"/>
    <col min="3" max="3" width="42.5703125" customWidth="1"/>
    <col min="4" max="4" width="13" customWidth="1"/>
    <col min="5" max="5" width="13.28515625" customWidth="1"/>
    <col min="6" max="6" width="11.85546875" customWidth="1"/>
    <col min="7" max="7" width="13.28515625" customWidth="1"/>
    <col min="8" max="8" width="12.5703125" customWidth="1"/>
    <col min="9" max="9" width="11.28515625" customWidth="1"/>
    <col min="10" max="10" width="11.85546875" customWidth="1"/>
    <col min="11" max="11" width="11.7109375" customWidth="1"/>
    <col min="12" max="12" width="11.140625" customWidth="1"/>
    <col min="13" max="14" width="12.5703125" customWidth="1"/>
    <col min="15" max="15" width="11.85546875" customWidth="1"/>
    <col min="16" max="16" width="13.28515625" style="72" customWidth="1"/>
    <col min="17" max="17" width="13.140625" style="72" customWidth="1"/>
    <col min="18" max="18" width="11.140625" style="72" customWidth="1"/>
    <col min="19" max="19" width="13.7109375" customWidth="1"/>
    <col min="20" max="20" width="12.5703125" customWidth="1"/>
    <col min="21" max="21" width="11.28515625" customWidth="1"/>
    <col min="22" max="22" width="10.7109375" style="407" customWidth="1"/>
    <col min="23" max="23" width="11.28515625" style="407" customWidth="1"/>
    <col min="24" max="24" width="12" style="407" customWidth="1"/>
    <col min="25" max="25" width="64.42578125" customWidth="1"/>
  </cols>
  <sheetData>
    <row r="1" spans="1:25" ht="24.75" customHeight="1">
      <c r="A1" s="1981" t="s">
        <v>302</v>
      </c>
      <c r="B1" s="1981"/>
      <c r="C1" s="1981"/>
      <c r="D1" s="1981"/>
      <c r="E1" s="1981"/>
      <c r="F1" s="1981"/>
      <c r="G1" s="1981"/>
      <c r="H1" s="1981"/>
      <c r="I1" s="1981"/>
      <c r="J1" s="1981"/>
      <c r="K1" s="1981"/>
      <c r="L1" s="1981"/>
      <c r="M1" s="533"/>
      <c r="N1" s="533"/>
      <c r="O1" s="533"/>
      <c r="P1" s="534"/>
      <c r="Q1" s="534"/>
      <c r="R1" s="534"/>
      <c r="S1" s="533"/>
      <c r="T1" s="533"/>
      <c r="U1" s="533"/>
      <c r="V1" s="535"/>
      <c r="W1" s="535"/>
    </row>
    <row r="2" spans="1:25" ht="24.75" customHeight="1">
      <c r="A2" s="1981"/>
      <c r="B2" s="1981"/>
      <c r="C2" s="1981"/>
      <c r="D2" s="1981"/>
      <c r="E2" s="1981"/>
      <c r="F2" s="1981"/>
      <c r="G2" s="1981"/>
      <c r="H2" s="1981"/>
      <c r="I2" s="1981"/>
      <c r="J2" s="1981"/>
      <c r="K2" s="1981"/>
      <c r="L2" s="1981"/>
      <c r="M2" s="533"/>
      <c r="N2" s="533"/>
      <c r="O2" s="533"/>
      <c r="P2" s="534"/>
      <c r="Q2" s="534"/>
      <c r="R2" s="534"/>
      <c r="S2" s="533"/>
      <c r="T2" s="533"/>
      <c r="U2" s="533"/>
      <c r="V2" s="535"/>
      <c r="W2" s="535"/>
    </row>
    <row r="3" spans="1:25" ht="11.25" customHeight="1"/>
    <row r="4" spans="1:25">
      <c r="A4" s="1985" t="s">
        <v>303</v>
      </c>
      <c r="B4" s="1985"/>
      <c r="C4" s="1985"/>
      <c r="D4" s="1985"/>
      <c r="E4" s="1985"/>
      <c r="F4" s="1985"/>
      <c r="G4" s="1985"/>
      <c r="H4" s="1985"/>
      <c r="I4" s="1985"/>
      <c r="J4" s="1985"/>
      <c r="K4" s="1985"/>
      <c r="L4" s="1985"/>
    </row>
    <row r="5" spans="1:25" ht="15.75" thickBot="1">
      <c r="A5" s="102"/>
    </row>
    <row r="6" spans="1:25" ht="51" customHeight="1" thickBot="1">
      <c r="A6" s="1911" t="s">
        <v>6</v>
      </c>
      <c r="B6" s="1920"/>
      <c r="C6" s="1921" t="s">
        <v>7</v>
      </c>
      <c r="D6" s="1974" t="s">
        <v>103</v>
      </c>
      <c r="E6" s="1975"/>
      <c r="F6" s="1976"/>
      <c r="G6" s="1982" t="s">
        <v>104</v>
      </c>
      <c r="H6" s="1983"/>
      <c r="I6" s="1984"/>
      <c r="J6" s="1974" t="s">
        <v>288</v>
      </c>
      <c r="K6" s="1975"/>
      <c r="L6" s="1976"/>
      <c r="M6" s="1974" t="s">
        <v>304</v>
      </c>
      <c r="N6" s="1975"/>
      <c r="O6" s="1976"/>
      <c r="P6" s="1977" t="s">
        <v>305</v>
      </c>
      <c r="Q6" s="1978"/>
      <c r="R6" s="1979"/>
      <c r="S6" s="1974" t="s">
        <v>126</v>
      </c>
      <c r="T6" s="1975"/>
      <c r="U6" s="1976"/>
      <c r="V6" s="1926" t="s">
        <v>106</v>
      </c>
      <c r="W6" s="1980" t="s">
        <v>107</v>
      </c>
      <c r="X6" s="1971" t="s">
        <v>306</v>
      </c>
      <c r="Y6" s="73"/>
    </row>
    <row r="7" spans="1:25" ht="24.75" customHeight="1">
      <c r="A7" s="1913"/>
      <c r="B7" s="1922"/>
      <c r="C7" s="1923"/>
      <c r="D7" s="1969" t="s">
        <v>20</v>
      </c>
      <c r="E7" s="1970" t="s">
        <v>108</v>
      </c>
      <c r="F7" s="1968" t="s">
        <v>109</v>
      </c>
      <c r="G7" s="1969" t="s">
        <v>20</v>
      </c>
      <c r="H7" s="1970" t="s">
        <v>108</v>
      </c>
      <c r="I7" s="1968" t="s">
        <v>109</v>
      </c>
      <c r="J7" s="1969" t="s">
        <v>20</v>
      </c>
      <c r="K7" s="1970" t="s">
        <v>108</v>
      </c>
      <c r="L7" s="1968" t="s">
        <v>109</v>
      </c>
      <c r="M7" s="1969" t="s">
        <v>20</v>
      </c>
      <c r="N7" s="1970" t="s">
        <v>108</v>
      </c>
      <c r="O7" s="1968" t="s">
        <v>109</v>
      </c>
      <c r="P7" s="1972" t="s">
        <v>20</v>
      </c>
      <c r="Q7" s="1964" t="s">
        <v>108</v>
      </c>
      <c r="R7" s="1966" t="s">
        <v>109</v>
      </c>
      <c r="S7" s="1969" t="s">
        <v>20</v>
      </c>
      <c r="T7" s="1970" t="s">
        <v>108</v>
      </c>
      <c r="U7" s="1968" t="s">
        <v>109</v>
      </c>
      <c r="V7" s="1909"/>
      <c r="W7" s="1924"/>
      <c r="X7" s="1905"/>
      <c r="Y7" s="1963"/>
    </row>
    <row r="8" spans="1:25" s="407" customFormat="1" ht="78" customHeight="1">
      <c r="A8" s="1913"/>
      <c r="B8" s="1922"/>
      <c r="C8" s="1923"/>
      <c r="D8" s="1909"/>
      <c r="E8" s="1924"/>
      <c r="F8" s="1905"/>
      <c r="G8" s="1909"/>
      <c r="H8" s="1924"/>
      <c r="I8" s="1905"/>
      <c r="J8" s="1909"/>
      <c r="K8" s="1924"/>
      <c r="L8" s="1905"/>
      <c r="M8" s="1909"/>
      <c r="N8" s="1924"/>
      <c r="O8" s="1905"/>
      <c r="P8" s="1973"/>
      <c r="Q8" s="1965"/>
      <c r="R8" s="1967"/>
      <c r="S8" s="1909"/>
      <c r="T8" s="1924"/>
      <c r="U8" s="1905"/>
      <c r="V8" s="1909"/>
      <c r="W8" s="1924"/>
      <c r="X8" s="1905"/>
      <c r="Y8" s="1963"/>
    </row>
    <row r="9" spans="1:25" ht="16.5" thickBot="1">
      <c r="A9" s="536"/>
      <c r="B9" s="537"/>
      <c r="C9" s="538"/>
      <c r="D9" s="539"/>
      <c r="E9" s="540"/>
      <c r="F9" s="541"/>
      <c r="G9" s="539"/>
      <c r="H9" s="540"/>
      <c r="I9" s="541"/>
      <c r="J9" s="539"/>
      <c r="K9" s="540"/>
      <c r="L9" s="541"/>
      <c r="M9" s="539"/>
      <c r="N9" s="540"/>
      <c r="O9" s="541"/>
      <c r="P9" s="542"/>
      <c r="Q9" s="543"/>
      <c r="R9" s="544"/>
      <c r="S9" s="539"/>
      <c r="T9" s="540"/>
      <c r="U9" s="541"/>
      <c r="V9" s="545"/>
      <c r="W9" s="212"/>
      <c r="X9" s="546"/>
      <c r="Y9" s="74"/>
    </row>
    <row r="10" spans="1:25" s="554" customFormat="1" ht="21" customHeight="1" thickBot="1">
      <c r="A10" s="1954" t="s">
        <v>112</v>
      </c>
      <c r="B10" s="1955"/>
      <c r="C10" s="1956"/>
      <c r="D10" s="547">
        <f t="shared" ref="D10:U10" si="0">D11+D14+D17</f>
        <v>5225500</v>
      </c>
      <c r="E10" s="548">
        <f t="shared" si="0"/>
        <v>4372500</v>
      </c>
      <c r="F10" s="549">
        <f t="shared" si="0"/>
        <v>853000</v>
      </c>
      <c r="G10" s="547">
        <f t="shared" si="0"/>
        <v>1280049.3999999999</v>
      </c>
      <c r="H10" s="548">
        <f t="shared" si="0"/>
        <v>1227590.5999999999</v>
      </c>
      <c r="I10" s="549">
        <f t="shared" si="0"/>
        <v>52458.799999999996</v>
      </c>
      <c r="J10" s="547">
        <f t="shared" si="0"/>
        <v>300830.71000000002</v>
      </c>
      <c r="K10" s="548">
        <f t="shared" si="0"/>
        <v>275561.91000000003</v>
      </c>
      <c r="L10" s="549">
        <f t="shared" si="0"/>
        <v>25268.799999999999</v>
      </c>
      <c r="M10" s="547">
        <f t="shared" si="0"/>
        <v>1586372</v>
      </c>
      <c r="N10" s="548">
        <f t="shared" si="0"/>
        <v>1321976.7</v>
      </c>
      <c r="O10" s="549">
        <f t="shared" si="0"/>
        <v>264395.3</v>
      </c>
      <c r="P10" s="547">
        <f t="shared" si="0"/>
        <v>2058247.8900000001</v>
      </c>
      <c r="Q10" s="548">
        <f t="shared" si="0"/>
        <v>1547370.79</v>
      </c>
      <c r="R10" s="549">
        <f t="shared" si="0"/>
        <v>510877.1</v>
      </c>
      <c r="S10" s="547">
        <f t="shared" si="0"/>
        <v>2058247.8400000003</v>
      </c>
      <c r="T10" s="548">
        <f t="shared" si="0"/>
        <v>1547370.7400000002</v>
      </c>
      <c r="U10" s="549">
        <f t="shared" si="0"/>
        <v>510877.1</v>
      </c>
      <c r="V10" s="550"/>
      <c r="W10" s="551"/>
      <c r="X10" s="552"/>
      <c r="Y10" s="553"/>
    </row>
    <row r="11" spans="1:25" s="59" customFormat="1" ht="75.75" customHeight="1">
      <c r="A11" s="1957">
        <v>1155</v>
      </c>
      <c r="B11" s="1959">
        <v>11001</v>
      </c>
      <c r="C11" s="555" t="s">
        <v>277</v>
      </c>
      <c r="D11" s="556">
        <f>+E11+F11</f>
        <v>2232360</v>
      </c>
      <c r="E11" s="557">
        <f>E12</f>
        <v>1860300</v>
      </c>
      <c r="F11" s="558">
        <f>F12</f>
        <v>372060</v>
      </c>
      <c r="G11" s="559">
        <f>+H11+I11</f>
        <v>1087094.5</v>
      </c>
      <c r="H11" s="560">
        <f>H12</f>
        <v>1054697.3999999999</v>
      </c>
      <c r="I11" s="561">
        <f>I12</f>
        <v>32397.1</v>
      </c>
      <c r="J11" s="559">
        <f>+K11+L11</f>
        <v>175282.26</v>
      </c>
      <c r="K11" s="560">
        <f>K12</f>
        <v>157498.89000000001</v>
      </c>
      <c r="L11" s="561">
        <f>L12</f>
        <v>17783.37</v>
      </c>
      <c r="M11" s="559">
        <f>+N11+O11</f>
        <v>423154.3</v>
      </c>
      <c r="N11" s="560">
        <f>N12</f>
        <v>352628.6</v>
      </c>
      <c r="O11" s="561">
        <f>O12</f>
        <v>70525.7</v>
      </c>
      <c r="P11" s="559">
        <f>+Q11+R11</f>
        <v>546828.94000000018</v>
      </c>
      <c r="Q11" s="560">
        <f>Q12</f>
        <v>295475.1100000001</v>
      </c>
      <c r="R11" s="561">
        <f>R12</f>
        <v>251353.83000000002</v>
      </c>
      <c r="S11" s="559">
        <f>+T11+U11</f>
        <v>546828.94000000006</v>
      </c>
      <c r="T11" s="560">
        <f>T12</f>
        <v>295475.1100000001</v>
      </c>
      <c r="U11" s="561">
        <f>U12</f>
        <v>251353.83</v>
      </c>
      <c r="V11" s="562" t="s">
        <v>307</v>
      </c>
      <c r="W11" s="563" t="s">
        <v>308</v>
      </c>
      <c r="X11" s="564"/>
      <c r="Y11" s="565" t="s">
        <v>309</v>
      </c>
    </row>
    <row r="12" spans="1:25" s="59" customFormat="1" ht="19.5" customHeight="1" thickBot="1">
      <c r="A12" s="1958"/>
      <c r="B12" s="1960"/>
      <c r="C12" s="566" t="s">
        <v>291</v>
      </c>
      <c r="D12" s="567">
        <f>+E12+F12</f>
        <v>2232360</v>
      </c>
      <c r="E12" s="568">
        <f>(420+2790+300)*530</f>
        <v>1860300</v>
      </c>
      <c r="F12" s="569">
        <f>+E12*0.2</f>
        <v>372060</v>
      </c>
      <c r="G12" s="567">
        <f>+H12+I12</f>
        <v>1087094.5</v>
      </c>
      <c r="H12" s="568">
        <f>605700.8+448996.6</f>
        <v>1054697.3999999999</v>
      </c>
      <c r="I12" s="569">
        <f>2457.6+29939.5</f>
        <v>32397.1</v>
      </c>
      <c r="J12" s="567">
        <f>+K12+L12</f>
        <v>175282.26</v>
      </c>
      <c r="K12" s="568">
        <v>157498.89000000001</v>
      </c>
      <c r="L12" s="569">
        <v>17783.37</v>
      </c>
      <c r="M12" s="567">
        <f>+N12+O12</f>
        <v>423154.3</v>
      </c>
      <c r="N12" s="568">
        <v>352628.6</v>
      </c>
      <c r="O12" s="569">
        <v>70525.7</v>
      </c>
      <c r="P12" s="567">
        <f>+Q12+R12</f>
        <v>546828.94000000018</v>
      </c>
      <c r="Q12" s="568">
        <f>+E12-H12-K12-N12</f>
        <v>295475.1100000001</v>
      </c>
      <c r="R12" s="569">
        <f>+F12-I12-L12-O12</f>
        <v>251353.83000000002</v>
      </c>
      <c r="S12" s="567">
        <f>+T12+U12</f>
        <v>546828.94000000006</v>
      </c>
      <c r="T12" s="568">
        <v>295475.1100000001</v>
      </c>
      <c r="U12" s="569">
        <v>251353.83</v>
      </c>
      <c r="V12" s="570"/>
      <c r="W12" s="571"/>
      <c r="X12" s="572"/>
      <c r="Y12" s="565"/>
    </row>
    <row r="13" spans="1:25" s="59" customFormat="1" ht="15.75" thickBot="1">
      <c r="A13" s="573"/>
      <c r="B13" s="574"/>
      <c r="C13" s="575"/>
      <c r="D13" s="576"/>
      <c r="E13" s="577"/>
      <c r="F13" s="578"/>
      <c r="G13" s="576"/>
      <c r="H13" s="577"/>
      <c r="I13" s="578"/>
      <c r="J13" s="576"/>
      <c r="K13" s="577"/>
      <c r="L13" s="578"/>
      <c r="M13" s="576"/>
      <c r="N13" s="577"/>
      <c r="O13" s="578"/>
      <c r="P13" s="576"/>
      <c r="Q13" s="577"/>
      <c r="R13" s="578"/>
      <c r="S13" s="576"/>
      <c r="T13" s="577"/>
      <c r="U13" s="578"/>
      <c r="V13" s="579"/>
      <c r="W13" s="580"/>
      <c r="X13" s="581"/>
      <c r="Y13" s="565"/>
    </row>
    <row r="14" spans="1:25" s="59" customFormat="1" ht="81.75" customHeight="1">
      <c r="A14" s="1961">
        <v>1155</v>
      </c>
      <c r="B14" s="1959">
        <v>12002</v>
      </c>
      <c r="C14" s="555" t="s">
        <v>276</v>
      </c>
      <c r="D14" s="559">
        <f>+E14+F14</f>
        <v>1081200</v>
      </c>
      <c r="E14" s="560">
        <f>E15</f>
        <v>901000</v>
      </c>
      <c r="F14" s="561">
        <f>F15</f>
        <v>180200</v>
      </c>
      <c r="G14" s="559">
        <f>+H14+I14</f>
        <v>0</v>
      </c>
      <c r="H14" s="560">
        <f>H15</f>
        <v>0</v>
      </c>
      <c r="I14" s="561">
        <f>I15</f>
        <v>0</v>
      </c>
      <c r="J14" s="559">
        <f>+K14+L14</f>
        <v>70887.22</v>
      </c>
      <c r="K14" s="560">
        <f>K15</f>
        <v>63743.38</v>
      </c>
      <c r="L14" s="561">
        <f>L15</f>
        <v>7143.84</v>
      </c>
      <c r="M14" s="559">
        <f>+N14+O14</f>
        <v>493680</v>
      </c>
      <c r="N14" s="560">
        <f>N15</f>
        <v>411400</v>
      </c>
      <c r="O14" s="561">
        <f>O15</f>
        <v>82280</v>
      </c>
      <c r="P14" s="559">
        <f>+Q14+R14</f>
        <v>516632.78</v>
      </c>
      <c r="Q14" s="560">
        <f>Q15</f>
        <v>425856.62</v>
      </c>
      <c r="R14" s="561">
        <f>R15</f>
        <v>90776.16</v>
      </c>
      <c r="S14" s="559">
        <f>+T14+U14</f>
        <v>516632.78</v>
      </c>
      <c r="T14" s="560">
        <f>T15</f>
        <v>425856.62</v>
      </c>
      <c r="U14" s="561">
        <f>U15</f>
        <v>90776.16</v>
      </c>
      <c r="V14" s="562" t="s">
        <v>307</v>
      </c>
      <c r="W14" s="563" t="s">
        <v>308</v>
      </c>
      <c r="X14" s="564"/>
      <c r="Y14" s="565" t="s">
        <v>309</v>
      </c>
    </row>
    <row r="15" spans="1:25" s="59" customFormat="1" ht="20.25" customHeight="1" thickBot="1">
      <c r="A15" s="1962"/>
      <c r="B15" s="1960"/>
      <c r="C15" s="566" t="s">
        <v>292</v>
      </c>
      <c r="D15" s="567">
        <f>+E15+F15</f>
        <v>1081200</v>
      </c>
      <c r="E15" s="568">
        <f>1700*530</f>
        <v>901000</v>
      </c>
      <c r="F15" s="569">
        <f>+E15*0.2</f>
        <v>180200</v>
      </c>
      <c r="G15" s="567">
        <f>+H15+I15</f>
        <v>0</v>
      </c>
      <c r="H15" s="568"/>
      <c r="I15" s="569"/>
      <c r="J15" s="567">
        <f>+K15+L15</f>
        <v>70887.22</v>
      </c>
      <c r="K15" s="568">
        <v>63743.38</v>
      </c>
      <c r="L15" s="569">
        <v>7143.84</v>
      </c>
      <c r="M15" s="567">
        <f>+N15+O15</f>
        <v>493680</v>
      </c>
      <c r="N15" s="568">
        <v>411400</v>
      </c>
      <c r="O15" s="569">
        <v>82280</v>
      </c>
      <c r="P15" s="567">
        <f>+Q15+R15</f>
        <v>516632.78</v>
      </c>
      <c r="Q15" s="568">
        <f>+E15-H15-K15-N15</f>
        <v>425856.62</v>
      </c>
      <c r="R15" s="569">
        <f>+F15-I15-L15-O15</f>
        <v>90776.16</v>
      </c>
      <c r="S15" s="567">
        <f>+T15+U15</f>
        <v>516632.78</v>
      </c>
      <c r="T15" s="568">
        <v>425856.62</v>
      </c>
      <c r="U15" s="569">
        <v>90776.16</v>
      </c>
      <c r="V15" s="570"/>
      <c r="W15" s="571"/>
      <c r="X15" s="572"/>
      <c r="Y15" s="565"/>
    </row>
    <row r="16" spans="1:25" s="59" customFormat="1" ht="15.75" thickBot="1">
      <c r="A16" s="573"/>
      <c r="B16" s="574"/>
      <c r="C16" s="575"/>
      <c r="D16" s="576"/>
      <c r="E16" s="577"/>
      <c r="F16" s="578"/>
      <c r="G16" s="576"/>
      <c r="H16" s="577"/>
      <c r="I16" s="578"/>
      <c r="J16" s="576"/>
      <c r="K16" s="577"/>
      <c r="L16" s="578"/>
      <c r="M16" s="576"/>
      <c r="N16" s="577"/>
      <c r="O16" s="578"/>
      <c r="P16" s="576"/>
      <c r="Q16" s="577"/>
      <c r="R16" s="578"/>
      <c r="S16" s="576"/>
      <c r="T16" s="577"/>
      <c r="U16" s="578"/>
      <c r="V16" s="579"/>
      <c r="W16" s="580"/>
      <c r="X16" s="581"/>
      <c r="Y16" s="565"/>
    </row>
    <row r="17" spans="1:25" s="59" customFormat="1" ht="87.75" customHeight="1">
      <c r="A17" s="1946">
        <v>1155</v>
      </c>
      <c r="B17" s="1949">
        <v>32001</v>
      </c>
      <c r="C17" s="555" t="s">
        <v>275</v>
      </c>
      <c r="D17" s="559">
        <f t="shared" ref="D17:U17" si="1">SUM(D18:D25)</f>
        <v>1911940</v>
      </c>
      <c r="E17" s="560">
        <f t="shared" si="1"/>
        <v>1611200</v>
      </c>
      <c r="F17" s="561">
        <f t="shared" si="1"/>
        <v>300740</v>
      </c>
      <c r="G17" s="559">
        <f t="shared" si="1"/>
        <v>192954.9</v>
      </c>
      <c r="H17" s="560">
        <f t="shared" si="1"/>
        <v>172893.2</v>
      </c>
      <c r="I17" s="561">
        <f t="shared" si="1"/>
        <v>20061.699999999997</v>
      </c>
      <c r="J17" s="559">
        <f t="shared" si="1"/>
        <v>54661.229999999996</v>
      </c>
      <c r="K17" s="560">
        <f t="shared" si="1"/>
        <v>54319.64</v>
      </c>
      <c r="L17" s="561">
        <f t="shared" si="1"/>
        <v>341.59</v>
      </c>
      <c r="M17" s="559">
        <f t="shared" si="1"/>
        <v>669537.70000000007</v>
      </c>
      <c r="N17" s="560">
        <f t="shared" si="1"/>
        <v>557948.1</v>
      </c>
      <c r="O17" s="561">
        <f t="shared" si="1"/>
        <v>111589.59999999999</v>
      </c>
      <c r="P17" s="559">
        <f t="shared" si="1"/>
        <v>994786.17</v>
      </c>
      <c r="Q17" s="560">
        <f t="shared" si="1"/>
        <v>826039.06</v>
      </c>
      <c r="R17" s="561">
        <f t="shared" si="1"/>
        <v>168747.11000000002</v>
      </c>
      <c r="S17" s="559">
        <f t="shared" si="1"/>
        <v>994786.12000000011</v>
      </c>
      <c r="T17" s="560">
        <f t="shared" si="1"/>
        <v>826039.01</v>
      </c>
      <c r="U17" s="561">
        <f t="shared" si="1"/>
        <v>168747.11000000002</v>
      </c>
      <c r="V17" s="562"/>
      <c r="W17" s="563"/>
      <c r="X17" s="564"/>
      <c r="Y17" s="565"/>
    </row>
    <row r="18" spans="1:25">
      <c r="A18" s="1947"/>
      <c r="B18" s="1950"/>
      <c r="C18" s="582" t="s">
        <v>293</v>
      </c>
      <c r="D18" s="429">
        <f t="shared" ref="D18:D25" si="2">+E18+F18</f>
        <v>137500</v>
      </c>
      <c r="E18" s="430">
        <f>250*530</f>
        <v>132500</v>
      </c>
      <c r="F18" s="431">
        <v>5000</v>
      </c>
      <c r="G18" s="429">
        <f t="shared" ref="G18:G25" si="3">+H18+I18</f>
        <v>120700</v>
      </c>
      <c r="H18" s="430">
        <v>120700</v>
      </c>
      <c r="I18" s="431"/>
      <c r="J18" s="429">
        <f t="shared" ref="J18:J23" si="4">+K18+L18</f>
        <v>0</v>
      </c>
      <c r="K18" s="430"/>
      <c r="L18" s="431"/>
      <c r="M18" s="429">
        <f t="shared" ref="M18:M25" si="5">+N18+O18</f>
        <v>0</v>
      </c>
      <c r="N18" s="430"/>
      <c r="O18" s="431"/>
      <c r="P18" s="429">
        <f t="shared" ref="P18:P25" si="6">+Q18+R18</f>
        <v>16800</v>
      </c>
      <c r="Q18" s="430">
        <f t="shared" ref="Q18:R25" si="7">+E18-H18-K18-N18</f>
        <v>11800</v>
      </c>
      <c r="R18" s="431">
        <f t="shared" si="7"/>
        <v>5000</v>
      </c>
      <c r="S18" s="429">
        <f t="shared" ref="S18:S25" si="8">+T18+U18</f>
        <v>16800</v>
      </c>
      <c r="T18" s="430">
        <v>11800</v>
      </c>
      <c r="U18" s="431">
        <v>5000</v>
      </c>
      <c r="V18" s="583"/>
      <c r="W18" s="584"/>
      <c r="X18" s="585"/>
      <c r="Y18" s="73"/>
    </row>
    <row r="19" spans="1:25">
      <c r="A19" s="1947"/>
      <c r="B19" s="1950"/>
      <c r="C19" s="582" t="s">
        <v>294</v>
      </c>
      <c r="D19" s="429">
        <f t="shared" si="2"/>
        <v>445200</v>
      </c>
      <c r="E19" s="430">
        <f>700*530</f>
        <v>371000</v>
      </c>
      <c r="F19" s="431">
        <f t="shared" ref="F19:F25" si="9">+E19*0.2</f>
        <v>74200</v>
      </c>
      <c r="G19" s="429">
        <f t="shared" si="3"/>
        <v>0</v>
      </c>
      <c r="H19" s="430"/>
      <c r="I19" s="431"/>
      <c r="J19" s="429">
        <f t="shared" si="4"/>
        <v>0</v>
      </c>
      <c r="K19" s="430"/>
      <c r="L19" s="431"/>
      <c r="M19" s="429">
        <f t="shared" si="5"/>
        <v>175500.80000000002</v>
      </c>
      <c r="N19" s="430">
        <v>146250.70000000001</v>
      </c>
      <c r="O19" s="431">
        <v>29250.1</v>
      </c>
      <c r="P19" s="429">
        <f t="shared" si="6"/>
        <v>269699.20000000001</v>
      </c>
      <c r="Q19" s="430">
        <f t="shared" si="7"/>
        <v>224749.3</v>
      </c>
      <c r="R19" s="431">
        <f t="shared" si="7"/>
        <v>44949.9</v>
      </c>
      <c r="S19" s="429">
        <f t="shared" si="8"/>
        <v>269699.20000000001</v>
      </c>
      <c r="T19" s="430">
        <v>224749.3</v>
      </c>
      <c r="U19" s="431">
        <v>44949.9</v>
      </c>
      <c r="V19" s="583"/>
      <c r="W19" s="584"/>
      <c r="X19" s="585"/>
      <c r="Y19" s="73"/>
    </row>
    <row r="20" spans="1:25" ht="25.5">
      <c r="A20" s="1947"/>
      <c r="B20" s="1950"/>
      <c r="C20" s="582" t="s">
        <v>295</v>
      </c>
      <c r="D20" s="429">
        <f t="shared" si="2"/>
        <v>159000</v>
      </c>
      <c r="E20" s="430">
        <f>250*530</f>
        <v>132500</v>
      </c>
      <c r="F20" s="431">
        <f t="shared" si="9"/>
        <v>26500</v>
      </c>
      <c r="G20" s="429">
        <f t="shared" si="3"/>
        <v>0</v>
      </c>
      <c r="H20" s="430"/>
      <c r="I20" s="431"/>
      <c r="J20" s="429">
        <f t="shared" si="4"/>
        <v>0</v>
      </c>
      <c r="K20" s="430"/>
      <c r="L20" s="431"/>
      <c r="M20" s="429">
        <f t="shared" si="5"/>
        <v>96362.8</v>
      </c>
      <c r="N20" s="430">
        <v>80302.3</v>
      </c>
      <c r="O20" s="431">
        <v>16060.5</v>
      </c>
      <c r="P20" s="429">
        <f t="shared" si="6"/>
        <v>62637.2</v>
      </c>
      <c r="Q20" s="430">
        <f t="shared" si="7"/>
        <v>52197.7</v>
      </c>
      <c r="R20" s="431">
        <f t="shared" si="7"/>
        <v>10439.5</v>
      </c>
      <c r="S20" s="429">
        <f t="shared" si="8"/>
        <v>62637.2</v>
      </c>
      <c r="T20" s="430">
        <v>52197.7</v>
      </c>
      <c r="U20" s="431">
        <v>10439.5</v>
      </c>
      <c r="V20" s="583"/>
      <c r="W20" s="584"/>
      <c r="X20" s="585"/>
      <c r="Y20" s="73"/>
    </row>
    <row r="21" spans="1:25">
      <c r="A21" s="1947"/>
      <c r="B21" s="1950"/>
      <c r="C21" s="582" t="s">
        <v>296</v>
      </c>
      <c r="D21" s="429">
        <f t="shared" si="2"/>
        <v>254400</v>
      </c>
      <c r="E21" s="430">
        <f>400*530</f>
        <v>212000</v>
      </c>
      <c r="F21" s="431">
        <f t="shared" si="9"/>
        <v>42400</v>
      </c>
      <c r="G21" s="429">
        <f t="shared" si="3"/>
        <v>10333.299999999999</v>
      </c>
      <c r="H21" s="430"/>
      <c r="I21" s="431">
        <v>10333.299999999999</v>
      </c>
      <c r="J21" s="429">
        <f t="shared" si="4"/>
        <v>50707.85</v>
      </c>
      <c r="K21" s="430">
        <v>50707.85</v>
      </c>
      <c r="L21" s="431"/>
      <c r="M21" s="429">
        <f t="shared" si="5"/>
        <v>105788.5</v>
      </c>
      <c r="N21" s="430">
        <v>88157.1</v>
      </c>
      <c r="O21" s="431">
        <v>17631.400000000001</v>
      </c>
      <c r="P21" s="429">
        <f t="shared" si="6"/>
        <v>87570.349999999991</v>
      </c>
      <c r="Q21" s="430">
        <f t="shared" si="7"/>
        <v>73135.049999999988</v>
      </c>
      <c r="R21" s="431">
        <f t="shared" si="7"/>
        <v>14435.3</v>
      </c>
      <c r="S21" s="429">
        <f t="shared" si="8"/>
        <v>87570.3</v>
      </c>
      <c r="T21" s="430">
        <v>73135</v>
      </c>
      <c r="U21" s="431">
        <v>14435.3</v>
      </c>
      <c r="V21" s="583"/>
      <c r="W21" s="584"/>
      <c r="X21" s="585"/>
      <c r="Y21" s="73"/>
    </row>
    <row r="22" spans="1:25">
      <c r="A22" s="1947"/>
      <c r="B22" s="1950"/>
      <c r="C22" s="582" t="s">
        <v>297</v>
      </c>
      <c r="D22" s="429">
        <f t="shared" si="2"/>
        <v>95400</v>
      </c>
      <c r="E22" s="430">
        <f>150*530</f>
        <v>79500</v>
      </c>
      <c r="F22" s="431">
        <f t="shared" si="9"/>
        <v>15900</v>
      </c>
      <c r="G22" s="429">
        <f t="shared" si="3"/>
        <v>5672.7</v>
      </c>
      <c r="H22" s="430">
        <f>5159.3</f>
        <v>5159.3</v>
      </c>
      <c r="I22" s="431">
        <v>513.4</v>
      </c>
      <c r="J22" s="429">
        <f t="shared" si="4"/>
        <v>760</v>
      </c>
      <c r="K22" s="430">
        <v>760</v>
      </c>
      <c r="L22" s="431"/>
      <c r="M22" s="429">
        <f t="shared" si="5"/>
        <v>77924.899999999994</v>
      </c>
      <c r="N22" s="430">
        <v>64937.4</v>
      </c>
      <c r="O22" s="431">
        <v>12987.5</v>
      </c>
      <c r="P22" s="429">
        <f t="shared" si="6"/>
        <v>11042.399999999996</v>
      </c>
      <c r="Q22" s="430">
        <f t="shared" si="7"/>
        <v>8643.2999999999956</v>
      </c>
      <c r="R22" s="431">
        <f t="shared" si="7"/>
        <v>2399.1000000000004</v>
      </c>
      <c r="S22" s="429">
        <f t="shared" si="8"/>
        <v>11042.399999999996</v>
      </c>
      <c r="T22" s="430">
        <v>8643.2999999999956</v>
      </c>
      <c r="U22" s="431">
        <v>2399.1000000000004</v>
      </c>
      <c r="V22" s="583"/>
      <c r="W22" s="584"/>
      <c r="X22" s="585"/>
      <c r="Y22" s="73"/>
    </row>
    <row r="23" spans="1:25">
      <c r="A23" s="1947"/>
      <c r="B23" s="1950"/>
      <c r="C23" s="582" t="s">
        <v>298</v>
      </c>
      <c r="D23" s="429">
        <f t="shared" si="2"/>
        <v>597840</v>
      </c>
      <c r="E23" s="430">
        <f>940*530</f>
        <v>498200</v>
      </c>
      <c r="F23" s="431">
        <f t="shared" si="9"/>
        <v>99640</v>
      </c>
      <c r="G23" s="429">
        <f t="shared" si="3"/>
        <v>56248.9</v>
      </c>
      <c r="H23" s="430">
        <f>47033.9</f>
        <v>47033.9</v>
      </c>
      <c r="I23" s="431">
        <f>9215</f>
        <v>9215</v>
      </c>
      <c r="J23" s="429">
        <f t="shared" si="4"/>
        <v>3193.38</v>
      </c>
      <c r="K23" s="430">
        <v>2851.79</v>
      </c>
      <c r="L23" s="431">
        <v>341.59</v>
      </c>
      <c r="M23" s="429">
        <f t="shared" si="5"/>
        <v>117542.9</v>
      </c>
      <c r="N23" s="430">
        <v>97952.4</v>
      </c>
      <c r="O23" s="431">
        <v>19590.5</v>
      </c>
      <c r="P23" s="429">
        <f t="shared" si="6"/>
        <v>420854.82000000007</v>
      </c>
      <c r="Q23" s="430">
        <f t="shared" si="7"/>
        <v>350361.91000000003</v>
      </c>
      <c r="R23" s="431">
        <f t="shared" si="7"/>
        <v>70492.91</v>
      </c>
      <c r="S23" s="429">
        <f t="shared" si="8"/>
        <v>420854.82000000007</v>
      </c>
      <c r="T23" s="430">
        <v>350361.91000000003</v>
      </c>
      <c r="U23" s="431">
        <v>70492.91</v>
      </c>
      <c r="V23" s="583"/>
      <c r="W23" s="584"/>
      <c r="X23" s="585"/>
      <c r="Y23" s="73"/>
    </row>
    <row r="24" spans="1:25">
      <c r="A24" s="1947"/>
      <c r="B24" s="1950"/>
      <c r="C24" s="582" t="s">
        <v>299</v>
      </c>
      <c r="D24" s="429">
        <f t="shared" si="2"/>
        <v>127200</v>
      </c>
      <c r="E24" s="430">
        <f>200*530</f>
        <v>106000</v>
      </c>
      <c r="F24" s="431">
        <f t="shared" si="9"/>
        <v>21200</v>
      </c>
      <c r="G24" s="429">
        <f t="shared" si="3"/>
        <v>0</v>
      </c>
      <c r="H24" s="430"/>
      <c r="I24" s="431"/>
      <c r="J24" s="429"/>
      <c r="K24" s="430"/>
      <c r="L24" s="431"/>
      <c r="M24" s="429">
        <f t="shared" si="5"/>
        <v>58771.399999999994</v>
      </c>
      <c r="N24" s="430">
        <v>48976.2</v>
      </c>
      <c r="O24" s="431">
        <v>9795.2000000000007</v>
      </c>
      <c r="P24" s="429">
        <f t="shared" si="6"/>
        <v>68428.600000000006</v>
      </c>
      <c r="Q24" s="430">
        <f t="shared" si="7"/>
        <v>57023.8</v>
      </c>
      <c r="R24" s="431">
        <f t="shared" si="7"/>
        <v>11404.8</v>
      </c>
      <c r="S24" s="429">
        <f t="shared" si="8"/>
        <v>68428.600000000006</v>
      </c>
      <c r="T24" s="430">
        <v>57023.8</v>
      </c>
      <c r="U24" s="431">
        <v>11404.8</v>
      </c>
      <c r="V24" s="583"/>
      <c r="W24" s="584"/>
      <c r="X24" s="585"/>
      <c r="Y24" s="73"/>
    </row>
    <row r="25" spans="1:25">
      <c r="A25" s="1947"/>
      <c r="B25" s="1950"/>
      <c r="C25" s="582" t="s">
        <v>300</v>
      </c>
      <c r="D25" s="429">
        <f t="shared" si="2"/>
        <v>95400</v>
      </c>
      <c r="E25" s="430">
        <f>150*530</f>
        <v>79500</v>
      </c>
      <c r="F25" s="431">
        <f t="shared" si="9"/>
        <v>15900</v>
      </c>
      <c r="G25" s="429">
        <f t="shared" si="3"/>
        <v>0</v>
      </c>
      <c r="H25" s="430"/>
      <c r="I25" s="431"/>
      <c r="J25" s="429"/>
      <c r="K25" s="430"/>
      <c r="L25" s="431"/>
      <c r="M25" s="429">
        <f t="shared" si="5"/>
        <v>37646.400000000001</v>
      </c>
      <c r="N25" s="430">
        <v>31372</v>
      </c>
      <c r="O25" s="431">
        <v>6274.4</v>
      </c>
      <c r="P25" s="429">
        <f t="shared" si="6"/>
        <v>57753.599999999999</v>
      </c>
      <c r="Q25" s="430">
        <f t="shared" si="7"/>
        <v>48128</v>
      </c>
      <c r="R25" s="431">
        <f t="shared" si="7"/>
        <v>9625.6</v>
      </c>
      <c r="S25" s="429">
        <f t="shared" si="8"/>
        <v>57753.599999999999</v>
      </c>
      <c r="T25" s="430">
        <v>48128</v>
      </c>
      <c r="U25" s="431">
        <v>9625.6</v>
      </c>
      <c r="V25" s="583"/>
      <c r="W25" s="584"/>
      <c r="X25" s="585"/>
      <c r="Y25" s="73"/>
    </row>
    <row r="26" spans="1:25" ht="15.75" thickBot="1">
      <c r="A26" s="1948"/>
      <c r="B26" s="586" t="s">
        <v>111</v>
      </c>
      <c r="C26" s="587" t="s">
        <v>111</v>
      </c>
      <c r="D26" s="588"/>
      <c r="E26" s="439"/>
      <c r="F26" s="440"/>
      <c r="G26" s="588"/>
      <c r="H26" s="439"/>
      <c r="I26" s="440"/>
      <c r="J26" s="588"/>
      <c r="K26" s="439"/>
      <c r="L26" s="440"/>
      <c r="M26" s="588"/>
      <c r="N26" s="439"/>
      <c r="O26" s="440"/>
      <c r="P26" s="588"/>
      <c r="Q26" s="439"/>
      <c r="R26" s="440"/>
      <c r="S26" s="588"/>
      <c r="T26" s="439"/>
      <c r="U26" s="440"/>
      <c r="V26" s="589"/>
      <c r="W26" s="590"/>
      <c r="X26" s="591"/>
      <c r="Y26" s="73"/>
    </row>
    <row r="27" spans="1:25" ht="16.5" thickBot="1">
      <c r="A27" s="1951" t="s">
        <v>111</v>
      </c>
      <c r="B27" s="1952"/>
      <c r="C27" s="1953"/>
      <c r="D27" s="469"/>
      <c r="E27" s="470"/>
      <c r="F27" s="475"/>
      <c r="G27" s="469"/>
      <c r="H27" s="470"/>
      <c r="I27" s="475"/>
      <c r="J27" s="469"/>
      <c r="K27" s="470"/>
      <c r="L27" s="475"/>
      <c r="M27" s="469"/>
      <c r="N27" s="470"/>
      <c r="O27" s="475"/>
      <c r="P27" s="469"/>
      <c r="Q27" s="470"/>
      <c r="R27" s="475"/>
      <c r="S27" s="469"/>
      <c r="T27" s="470"/>
      <c r="U27" s="475"/>
      <c r="V27" s="592"/>
      <c r="W27" s="593"/>
      <c r="X27" s="594"/>
      <c r="Y27" s="74"/>
    </row>
    <row r="28" spans="1:25" ht="17.25">
      <c r="A28" s="595"/>
    </row>
    <row r="54" spans="1:31">
      <c r="S54" s="621"/>
      <c r="T54" s="621"/>
      <c r="U54" s="621"/>
      <c r="V54" s="629"/>
      <c r="W54" s="629"/>
      <c r="X54" s="629"/>
      <c r="Y54" s="621"/>
      <c r="Z54" s="621"/>
      <c r="AA54" s="621"/>
      <c r="AB54" s="621"/>
      <c r="AC54" s="621"/>
      <c r="AD54" s="621"/>
      <c r="AE54" s="621"/>
    </row>
    <row r="55" spans="1:31">
      <c r="S55" s="621"/>
      <c r="T55" s="621"/>
      <c r="U55" s="621"/>
      <c r="V55" s="629"/>
      <c r="W55" s="629"/>
      <c r="X55" s="629"/>
      <c r="Y55" s="621"/>
      <c r="Z55" s="621"/>
      <c r="AA55" s="621"/>
      <c r="AB55" s="621"/>
      <c r="AC55" s="621"/>
      <c r="AD55" s="621"/>
      <c r="AE55" s="621"/>
    </row>
    <row r="56" spans="1:31">
      <c r="S56" s="621"/>
      <c r="T56" s="621"/>
      <c r="U56" s="621"/>
      <c r="V56" s="629"/>
      <c r="W56" s="629"/>
      <c r="X56" s="629"/>
      <c r="Y56" s="621"/>
      <c r="Z56" s="621"/>
      <c r="AA56" s="621"/>
      <c r="AB56" s="621"/>
      <c r="AC56" s="621"/>
      <c r="AD56" s="621"/>
      <c r="AE56" s="621"/>
    </row>
    <row r="57" spans="1:31">
      <c r="A57" s="630"/>
      <c r="S57" s="621"/>
      <c r="T57" s="621"/>
      <c r="U57" s="621"/>
      <c r="V57" s="629"/>
      <c r="W57" s="629"/>
      <c r="X57" s="629"/>
      <c r="Y57" s="621"/>
      <c r="Z57" s="621"/>
      <c r="AA57" s="621"/>
      <c r="AB57" s="621"/>
      <c r="AC57" s="621"/>
      <c r="AD57" s="621"/>
      <c r="AE57" s="621"/>
    </row>
    <row r="58" spans="1:31">
      <c r="A58" s="630"/>
      <c r="S58" s="621"/>
      <c r="T58" s="621"/>
      <c r="U58" s="621"/>
      <c r="V58" s="629"/>
      <c r="W58" s="629"/>
      <c r="X58" s="629"/>
      <c r="Y58" s="621"/>
      <c r="Z58" s="621"/>
      <c r="AA58" s="621"/>
      <c r="AB58" s="621"/>
      <c r="AC58" s="621"/>
      <c r="AD58" s="621"/>
      <c r="AE58" s="621"/>
    </row>
    <row r="59" spans="1:31">
      <c r="A59" s="630"/>
      <c r="S59" s="621"/>
      <c r="T59" s="621"/>
      <c r="U59" s="621"/>
      <c r="V59" s="629"/>
      <c r="W59" s="629"/>
      <c r="X59" s="629"/>
      <c r="Y59" s="621"/>
      <c r="Z59" s="621"/>
      <c r="AA59" s="621"/>
      <c r="AB59" s="621"/>
      <c r="AC59" s="621"/>
      <c r="AD59" s="621"/>
      <c r="AE59" s="621"/>
    </row>
    <row r="60" spans="1:31">
      <c r="A60" s="630"/>
      <c r="S60" s="621"/>
      <c r="T60" s="621"/>
      <c r="U60" s="621"/>
      <c r="V60" s="629"/>
      <c r="W60" s="629"/>
      <c r="X60" s="629"/>
      <c r="Y60" s="621"/>
      <c r="Z60" s="621"/>
      <c r="AA60" s="621"/>
      <c r="AB60" s="621"/>
      <c r="AC60" s="621"/>
      <c r="AD60" s="621"/>
      <c r="AE60" s="621"/>
    </row>
    <row r="61" spans="1:31">
      <c r="S61" s="621"/>
      <c r="T61" s="621"/>
      <c r="U61" s="621"/>
      <c r="V61" s="629"/>
      <c r="W61" s="629"/>
      <c r="X61" s="629"/>
      <c r="Y61" s="621"/>
      <c r="Z61" s="621"/>
      <c r="AA61" s="621"/>
      <c r="AB61" s="621"/>
      <c r="AC61" s="621"/>
      <c r="AD61" s="621"/>
      <c r="AE61" s="621"/>
    </row>
    <row r="62" spans="1:31">
      <c r="S62" s="621"/>
      <c r="T62" s="621"/>
      <c r="U62" s="621"/>
      <c r="V62" s="629"/>
      <c r="W62" s="629"/>
      <c r="X62" s="629"/>
      <c r="Y62" s="621"/>
      <c r="Z62" s="621"/>
      <c r="AA62" s="621"/>
      <c r="AB62" s="621"/>
      <c r="AC62" s="621"/>
      <c r="AD62" s="621"/>
      <c r="AE62" s="621"/>
    </row>
    <row r="63" spans="1:31">
      <c r="S63" s="621"/>
      <c r="T63" s="621"/>
      <c r="U63" s="621"/>
      <c r="V63" s="629"/>
      <c r="W63" s="629"/>
      <c r="X63" s="629"/>
      <c r="Y63" s="621"/>
      <c r="Z63" s="621"/>
      <c r="AA63" s="621"/>
      <c r="AB63" s="621"/>
      <c r="AC63" s="621"/>
      <c r="AD63" s="621"/>
      <c r="AE63" s="621"/>
    </row>
    <row r="64" spans="1:31">
      <c r="S64" s="621"/>
      <c r="T64" s="621"/>
      <c r="U64" s="621"/>
      <c r="V64" s="629"/>
      <c r="W64" s="629"/>
      <c r="X64" s="629"/>
      <c r="Y64" s="621"/>
      <c r="Z64" s="621"/>
      <c r="AA64" s="621"/>
      <c r="AB64" s="621"/>
      <c r="AC64" s="621"/>
      <c r="AD64" s="621"/>
      <c r="AE64" s="621"/>
    </row>
    <row r="65" spans="19:31">
      <c r="S65" s="621"/>
      <c r="T65" s="621"/>
      <c r="U65" s="621"/>
      <c r="V65" s="629"/>
      <c r="W65" s="629"/>
      <c r="X65" s="629"/>
      <c r="Y65" s="621"/>
      <c r="Z65" s="621"/>
      <c r="AA65" s="621"/>
      <c r="AB65" s="621"/>
      <c r="AC65" s="621"/>
      <c r="AD65" s="621"/>
      <c r="AE65" s="621"/>
    </row>
    <row r="66" spans="19:31">
      <c r="S66" s="621"/>
      <c r="T66" s="621"/>
      <c r="U66" s="621"/>
      <c r="V66" s="629"/>
      <c r="W66" s="629"/>
      <c r="X66" s="629"/>
      <c r="Y66" s="621"/>
      <c r="Z66" s="621"/>
      <c r="AA66" s="621"/>
      <c r="AB66" s="621"/>
      <c r="AC66" s="621"/>
      <c r="AD66" s="621"/>
      <c r="AE66" s="621"/>
    </row>
    <row r="67" spans="19:31">
      <c r="S67" s="621"/>
      <c r="T67" s="621"/>
      <c r="U67" s="621"/>
      <c r="V67" s="629"/>
      <c r="W67" s="629"/>
      <c r="X67" s="629"/>
      <c r="Y67" s="621"/>
      <c r="Z67" s="621"/>
      <c r="AA67" s="621"/>
      <c r="AB67" s="621"/>
      <c r="AC67" s="621"/>
      <c r="AD67" s="621"/>
      <c r="AE67" s="621"/>
    </row>
    <row r="68" spans="19:31">
      <c r="S68" s="621"/>
      <c r="T68" s="621"/>
      <c r="U68" s="621"/>
      <c r="V68" s="629"/>
      <c r="W68" s="629"/>
      <c r="X68" s="629"/>
      <c r="Y68" s="621"/>
      <c r="Z68" s="621"/>
      <c r="AA68" s="621"/>
      <c r="AB68" s="621"/>
      <c r="AC68" s="621"/>
      <c r="AD68" s="621"/>
      <c r="AE68" s="621"/>
    </row>
    <row r="69" spans="19:31">
      <c r="S69" s="621"/>
      <c r="T69" s="621"/>
      <c r="U69" s="621"/>
      <c r="V69" s="629"/>
      <c r="W69" s="629"/>
      <c r="X69" s="629"/>
      <c r="Y69" s="621"/>
      <c r="Z69" s="621"/>
      <c r="AA69" s="621"/>
      <c r="AB69" s="621"/>
      <c r="AC69" s="621"/>
      <c r="AD69" s="621"/>
      <c r="AE69" s="621"/>
    </row>
    <row r="70" spans="19:31">
      <c r="S70" s="621"/>
      <c r="T70" s="621"/>
      <c r="U70" s="621"/>
      <c r="V70" s="629"/>
      <c r="W70" s="629"/>
      <c r="X70" s="629"/>
      <c r="Y70" s="621"/>
      <c r="Z70" s="621"/>
      <c r="AA70" s="621"/>
      <c r="AB70" s="621"/>
      <c r="AC70" s="621"/>
      <c r="AD70" s="621"/>
      <c r="AE70" s="621"/>
    </row>
    <row r="71" spans="19:31">
      <c r="S71" s="621"/>
      <c r="T71" s="621"/>
      <c r="U71" s="621"/>
      <c r="V71" s="629"/>
      <c r="W71" s="629"/>
      <c r="X71" s="629"/>
      <c r="Y71" s="621"/>
      <c r="Z71" s="621"/>
      <c r="AA71" s="621"/>
      <c r="AB71" s="621"/>
      <c r="AC71" s="621"/>
      <c r="AD71" s="621"/>
      <c r="AE71" s="621"/>
    </row>
  </sheetData>
  <mergeCells count="40">
    <mergeCell ref="W6:W8"/>
    <mergeCell ref="S7:S8"/>
    <mergeCell ref="T7:T8"/>
    <mergeCell ref="U7:U8"/>
    <mergeCell ref="A1:L2"/>
    <mergeCell ref="A6:B8"/>
    <mergeCell ref="C6:C8"/>
    <mergeCell ref="D6:F6"/>
    <mergeCell ref="G6:I6"/>
    <mergeCell ref="J6:L6"/>
    <mergeCell ref="A4:L4"/>
    <mergeCell ref="D7:D8"/>
    <mergeCell ref="E7:E8"/>
    <mergeCell ref="F7:F8"/>
    <mergeCell ref="G7:G8"/>
    <mergeCell ref="H7:H8"/>
    <mergeCell ref="Y7:Y8"/>
    <mergeCell ref="Q7:Q8"/>
    <mergeCell ref="R7:R8"/>
    <mergeCell ref="I7:I8"/>
    <mergeCell ref="J7:J8"/>
    <mergeCell ref="K7:K8"/>
    <mergeCell ref="L7:L8"/>
    <mergeCell ref="X6:X8"/>
    <mergeCell ref="M7:M8"/>
    <mergeCell ref="N7:N8"/>
    <mergeCell ref="O7:O8"/>
    <mergeCell ref="P7:P8"/>
    <mergeCell ref="M6:O6"/>
    <mergeCell ref="P6:R6"/>
    <mergeCell ref="S6:U6"/>
    <mergeCell ref="V6:V8"/>
    <mergeCell ref="A17:A26"/>
    <mergeCell ref="B17:B25"/>
    <mergeCell ref="A27:C27"/>
    <mergeCell ref="A10:C10"/>
    <mergeCell ref="A11:A12"/>
    <mergeCell ref="B11:B12"/>
    <mergeCell ref="A14:A15"/>
    <mergeCell ref="B14:B15"/>
  </mergeCells>
  <hyperlinks>
    <hyperlink ref="C11" location="_ftn1" display="_ftn1"/>
    <hyperlink ref="C17" location="_ftn2" display="_ftn2"/>
    <hyperlink ref="C22" location="_ftn2" display="_ftn2"/>
    <hyperlink ref="C28" location="_ftn2" display="_ftn2"/>
  </hyperlinks>
  <pageMargins left="0.7" right="0.7" top="0.75" bottom="0.75" header="0.3" footer="0.3"/>
  <ignoredErrors>
    <ignoredError sqref="G11:M11 E19 G14:L15"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E26"/>
  <sheetViews>
    <sheetView topLeftCell="F1" workbookViewId="0">
      <selection activeCell="P6" sqref="P6:P7"/>
    </sheetView>
  </sheetViews>
  <sheetFormatPr defaultRowHeight="15"/>
  <cols>
    <col min="3" max="3" width="37" customWidth="1"/>
    <col min="4" max="6" width="11.85546875" customWidth="1"/>
    <col min="7" max="15" width="12" customWidth="1"/>
    <col min="16" max="16" width="11.85546875" customWidth="1"/>
    <col min="17" max="17" width="12" customWidth="1"/>
    <col min="18" max="18" width="10.42578125" customWidth="1"/>
  </cols>
  <sheetData>
    <row r="1" spans="1:31" ht="25.5" customHeight="1">
      <c r="A1" s="1934" t="s">
        <v>310</v>
      </c>
      <c r="B1" s="1934"/>
      <c r="C1" s="1934"/>
      <c r="D1" s="1934"/>
      <c r="E1" s="1934"/>
      <c r="F1" s="1934"/>
      <c r="G1" s="1934"/>
      <c r="H1" s="1934"/>
      <c r="I1" s="1934"/>
      <c r="J1" s="1934"/>
      <c r="K1" s="1934"/>
      <c r="P1" s="72"/>
      <c r="Q1" s="72"/>
      <c r="R1" s="72"/>
      <c r="V1" s="407"/>
      <c r="W1" s="407"/>
      <c r="X1" s="407"/>
    </row>
    <row r="2" spans="1:31" ht="25.5" customHeight="1">
      <c r="A2" s="1934"/>
      <c r="B2" s="1934"/>
      <c r="C2" s="1934"/>
      <c r="D2" s="1934"/>
      <c r="E2" s="1934"/>
      <c r="F2" s="1934"/>
      <c r="G2" s="1934"/>
      <c r="H2" s="1934"/>
      <c r="I2" s="1934"/>
      <c r="J2" s="1934"/>
      <c r="K2" s="1934"/>
      <c r="P2" s="72"/>
      <c r="Q2" s="72"/>
      <c r="R2" s="72"/>
      <c r="V2" s="407"/>
      <c r="W2" s="407"/>
      <c r="X2" s="407"/>
    </row>
    <row r="3" spans="1:31" ht="15.75" thickBot="1">
      <c r="A3" s="102"/>
      <c r="B3" s="407"/>
      <c r="P3" s="72"/>
      <c r="Q3" s="72"/>
      <c r="R3" s="72"/>
      <c r="V3" s="407"/>
      <c r="W3" s="407"/>
      <c r="X3" s="407"/>
    </row>
    <row r="4" spans="1:31">
      <c r="A4" s="1911" t="s">
        <v>6</v>
      </c>
      <c r="B4" s="1921"/>
      <c r="C4" s="1917" t="s">
        <v>7</v>
      </c>
      <c r="D4" s="1911" t="s">
        <v>114</v>
      </c>
      <c r="E4" s="1920"/>
      <c r="F4" s="1921"/>
      <c r="G4" s="1911" t="s">
        <v>115</v>
      </c>
      <c r="H4" s="1920"/>
      <c r="I4" s="1921"/>
      <c r="J4" s="1911" t="s">
        <v>116</v>
      </c>
      <c r="K4" s="1920"/>
      <c r="L4" s="1921"/>
      <c r="M4" s="1911" t="s">
        <v>117</v>
      </c>
      <c r="N4" s="1920"/>
      <c r="O4" s="1921"/>
      <c r="P4" s="2001" t="s">
        <v>118</v>
      </c>
      <c r="Q4" s="2002"/>
      <c r="R4" s="2003"/>
      <c r="S4" s="73"/>
      <c r="V4" s="407"/>
      <c r="W4" s="407"/>
      <c r="X4" s="407"/>
    </row>
    <row r="5" spans="1:31" ht="6.75" customHeight="1">
      <c r="A5" s="1913"/>
      <c r="B5" s="1923"/>
      <c r="C5" s="1918"/>
      <c r="D5" s="1913"/>
      <c r="E5" s="1922"/>
      <c r="F5" s="1923"/>
      <c r="G5" s="1913"/>
      <c r="H5" s="1922"/>
      <c r="I5" s="1923"/>
      <c r="J5" s="1913"/>
      <c r="K5" s="1922"/>
      <c r="L5" s="1923"/>
      <c r="M5" s="1913"/>
      <c r="N5" s="1922"/>
      <c r="O5" s="1923"/>
      <c r="P5" s="2004"/>
      <c r="Q5" s="2005"/>
      <c r="R5" s="2006"/>
      <c r="S5" s="73"/>
      <c r="V5" s="407"/>
      <c r="W5" s="407"/>
      <c r="X5" s="407"/>
    </row>
    <row r="6" spans="1:31" ht="24.75" customHeight="1">
      <c r="A6" s="1913"/>
      <c r="B6" s="1923"/>
      <c r="C6" s="1918"/>
      <c r="D6" s="1909" t="s">
        <v>20</v>
      </c>
      <c r="E6" s="1924" t="s">
        <v>108</v>
      </c>
      <c r="F6" s="1905" t="s">
        <v>109</v>
      </c>
      <c r="G6" s="1909" t="s">
        <v>20</v>
      </c>
      <c r="H6" s="1924" t="s">
        <v>108</v>
      </c>
      <c r="I6" s="1905" t="s">
        <v>109</v>
      </c>
      <c r="J6" s="1909" t="s">
        <v>20</v>
      </c>
      <c r="K6" s="1924" t="s">
        <v>108</v>
      </c>
      <c r="L6" s="1905" t="s">
        <v>109</v>
      </c>
      <c r="M6" s="1909" t="s">
        <v>20</v>
      </c>
      <c r="N6" s="1924" t="s">
        <v>108</v>
      </c>
      <c r="O6" s="1905" t="s">
        <v>119</v>
      </c>
      <c r="P6" s="1973" t="s">
        <v>20</v>
      </c>
      <c r="Q6" s="1965" t="s">
        <v>108</v>
      </c>
      <c r="R6" s="1967" t="s">
        <v>109</v>
      </c>
      <c r="S6" s="1963"/>
      <c r="V6" s="407"/>
      <c r="W6" s="407"/>
      <c r="X6" s="407"/>
    </row>
    <row r="7" spans="1:31" ht="68.25" customHeight="1" thickBot="1">
      <c r="A7" s="1915"/>
      <c r="B7" s="2013"/>
      <c r="C7" s="1919"/>
      <c r="D7" s="2007"/>
      <c r="E7" s="2008"/>
      <c r="F7" s="2009"/>
      <c r="G7" s="2007"/>
      <c r="H7" s="2008"/>
      <c r="I7" s="2009"/>
      <c r="J7" s="2007"/>
      <c r="K7" s="2008"/>
      <c r="L7" s="2009"/>
      <c r="M7" s="2007"/>
      <c r="N7" s="2008"/>
      <c r="O7" s="2009"/>
      <c r="P7" s="2010"/>
      <c r="Q7" s="2011"/>
      <c r="R7" s="2012"/>
      <c r="S7" s="1963"/>
      <c r="V7" s="407"/>
      <c r="W7" s="407"/>
      <c r="X7" s="407"/>
    </row>
    <row r="8" spans="1:31" ht="16.5" thickBot="1">
      <c r="A8" s="1986" t="s">
        <v>110</v>
      </c>
      <c r="B8" s="1987"/>
      <c r="C8" s="1988"/>
      <c r="D8" s="596"/>
      <c r="E8" s="597"/>
      <c r="F8" s="598"/>
      <c r="G8" s="596"/>
      <c r="H8" s="597"/>
      <c r="I8" s="598"/>
      <c r="J8" s="596"/>
      <c r="K8" s="597"/>
      <c r="L8" s="598"/>
      <c r="M8" s="596"/>
      <c r="N8" s="597"/>
      <c r="O8" s="598"/>
      <c r="P8" s="599"/>
      <c r="Q8" s="600"/>
      <c r="R8" s="601"/>
      <c r="S8" s="74"/>
      <c r="V8" s="407"/>
      <c r="W8" s="407"/>
      <c r="X8" s="407"/>
    </row>
    <row r="9" spans="1:31" s="609" customFormat="1" ht="21" customHeight="1" thickBot="1">
      <c r="A9" s="1998" t="s">
        <v>112</v>
      </c>
      <c r="B9" s="1999"/>
      <c r="C9" s="2000"/>
      <c r="D9" s="602">
        <f t="shared" ref="D9:R9" si="0">D10+D14+D17</f>
        <v>1029123.9149999999</v>
      </c>
      <c r="E9" s="603">
        <f t="shared" si="0"/>
        <v>773685.36499999999</v>
      </c>
      <c r="F9" s="604">
        <f t="shared" si="0"/>
        <v>255438.55</v>
      </c>
      <c r="G9" s="602">
        <f t="shared" si="0"/>
        <v>1887182.835</v>
      </c>
      <c r="H9" s="603">
        <f t="shared" si="0"/>
        <v>1547370.73</v>
      </c>
      <c r="I9" s="604">
        <f t="shared" si="0"/>
        <v>339812.10499999998</v>
      </c>
      <c r="J9" s="602">
        <f t="shared" si="0"/>
        <v>1887182.835</v>
      </c>
      <c r="K9" s="603">
        <f t="shared" si="0"/>
        <v>1547370.73</v>
      </c>
      <c r="L9" s="604">
        <f t="shared" si="0"/>
        <v>339812.10499999998</v>
      </c>
      <c r="M9" s="602">
        <f t="shared" si="0"/>
        <v>2058247.8400000003</v>
      </c>
      <c r="N9" s="603">
        <f t="shared" si="0"/>
        <v>1547370.7400000002</v>
      </c>
      <c r="O9" s="604">
        <f t="shared" si="0"/>
        <v>510877.1</v>
      </c>
      <c r="P9" s="605">
        <f t="shared" si="0"/>
        <v>2058247.8400000003</v>
      </c>
      <c r="Q9" s="606">
        <f t="shared" si="0"/>
        <v>1547370.7400000002</v>
      </c>
      <c r="R9" s="607">
        <f t="shared" si="0"/>
        <v>510877.1</v>
      </c>
      <c r="S9" s="608"/>
      <c r="U9" s="610"/>
      <c r="V9" s="611"/>
      <c r="W9" s="611"/>
      <c r="X9" s="611"/>
      <c r="Y9" s="610"/>
    </row>
    <row r="10" spans="1:31" s="406" customFormat="1" ht="79.5" customHeight="1">
      <c r="A10" s="1992"/>
      <c r="B10" s="1989">
        <v>11001</v>
      </c>
      <c r="C10" s="416" t="s">
        <v>277</v>
      </c>
      <c r="D10" s="612">
        <f>+E10+F10</f>
        <v>273414.46499999997</v>
      </c>
      <c r="E10" s="613">
        <f>+E11+E12</f>
        <v>147737.54999999999</v>
      </c>
      <c r="F10" s="614">
        <f>+F11+F12</f>
        <v>125676.91499999999</v>
      </c>
      <c r="G10" s="612">
        <f>+H10+I10</f>
        <v>421152.01499999996</v>
      </c>
      <c r="H10" s="613">
        <f>+H11+H12</f>
        <v>295475.09999999998</v>
      </c>
      <c r="I10" s="614">
        <f>+I11+I12</f>
        <v>125676.91499999999</v>
      </c>
      <c r="J10" s="612">
        <f>+K10+L10</f>
        <v>421152.01499999996</v>
      </c>
      <c r="K10" s="613">
        <f>+K11+K12</f>
        <v>295475.09999999998</v>
      </c>
      <c r="L10" s="614">
        <f>+L11+L12</f>
        <v>125676.91499999999</v>
      </c>
      <c r="M10" s="612">
        <f>+N10+O10</f>
        <v>546828.94000000006</v>
      </c>
      <c r="N10" s="560">
        <f>N11</f>
        <v>295475.1100000001</v>
      </c>
      <c r="O10" s="561">
        <f>O11</f>
        <v>251353.83</v>
      </c>
      <c r="P10" s="612">
        <f>+Q10+R10</f>
        <v>546828.94000000006</v>
      </c>
      <c r="Q10" s="560">
        <f>Q11</f>
        <v>295475.1100000001</v>
      </c>
      <c r="R10" s="561">
        <f>R11</f>
        <v>251353.83</v>
      </c>
      <c r="S10" s="615"/>
      <c r="T10" s="615"/>
      <c r="U10" s="615"/>
      <c r="V10" s="615"/>
      <c r="W10" s="615"/>
      <c r="X10" s="615"/>
      <c r="Y10" s="616"/>
      <c r="Z10" s="617"/>
      <c r="AA10" s="617"/>
      <c r="AB10" s="617"/>
      <c r="AC10" s="617"/>
      <c r="AD10" s="617"/>
      <c r="AE10" s="617"/>
    </row>
    <row r="11" spans="1:31" ht="15.75" hidden="1" thickBot="1">
      <c r="A11" s="1993"/>
      <c r="B11" s="1990"/>
      <c r="C11" s="425"/>
      <c r="D11" s="429"/>
      <c r="E11" s="430"/>
      <c r="F11" s="431"/>
      <c r="G11" s="429"/>
      <c r="H11" s="430"/>
      <c r="I11" s="431"/>
      <c r="J11" s="429"/>
      <c r="K11" s="430"/>
      <c r="L11" s="431"/>
      <c r="M11" s="429"/>
      <c r="N11" s="568">
        <v>295475.1100000001</v>
      </c>
      <c r="O11" s="569">
        <v>251353.83</v>
      </c>
      <c r="P11" s="429"/>
      <c r="Q11" s="568">
        <v>295475.1100000001</v>
      </c>
      <c r="R11" s="569">
        <v>251353.83</v>
      </c>
      <c r="S11" s="618"/>
      <c r="T11" s="619"/>
      <c r="U11" s="619"/>
      <c r="V11" s="620"/>
      <c r="W11" s="620"/>
      <c r="X11" s="620"/>
      <c r="Y11" s="215"/>
      <c r="Z11" s="621"/>
      <c r="AA11" s="621"/>
      <c r="AB11" s="621"/>
      <c r="AC11" s="621"/>
      <c r="AD11" s="621"/>
      <c r="AE11" s="621"/>
    </row>
    <row r="12" spans="1:31" ht="19.5" customHeight="1" thickBot="1">
      <c r="A12" s="1993"/>
      <c r="B12" s="1991"/>
      <c r="C12" s="434" t="s">
        <v>291</v>
      </c>
      <c r="D12" s="588">
        <f>+E12+F12</f>
        <v>273414.46499999997</v>
      </c>
      <c r="E12" s="439">
        <f>295475.1/2</f>
        <v>147737.54999999999</v>
      </c>
      <c r="F12" s="440">
        <f>251353.83/2</f>
        <v>125676.91499999999</v>
      </c>
      <c r="G12" s="588">
        <f>+H12+I12</f>
        <v>421152.01499999996</v>
      </c>
      <c r="H12" s="439">
        <f>295475.1</f>
        <v>295475.09999999998</v>
      </c>
      <c r="I12" s="440">
        <f>251353.83/2</f>
        <v>125676.91499999999</v>
      </c>
      <c r="J12" s="588">
        <f>+K12+L12</f>
        <v>421152.01499999996</v>
      </c>
      <c r="K12" s="439">
        <f>295475.1</f>
        <v>295475.09999999998</v>
      </c>
      <c r="L12" s="440">
        <f>251353.83/2</f>
        <v>125676.91499999999</v>
      </c>
      <c r="M12" s="588">
        <f>+N12+O12</f>
        <v>421152.01499999996</v>
      </c>
      <c r="N12" s="439">
        <f>295475.1</f>
        <v>295475.09999999998</v>
      </c>
      <c r="O12" s="440">
        <f>251353.83/2</f>
        <v>125676.91499999999</v>
      </c>
      <c r="P12" s="588">
        <f>+Q12+R12</f>
        <v>421152.01499999996</v>
      </c>
      <c r="Q12" s="439">
        <f>295475.1</f>
        <v>295475.09999999998</v>
      </c>
      <c r="R12" s="440">
        <f>251353.83/2</f>
        <v>125676.91499999999</v>
      </c>
      <c r="S12" s="622"/>
      <c r="T12" s="619"/>
      <c r="U12" s="619"/>
      <c r="V12" s="620"/>
      <c r="W12" s="620"/>
      <c r="X12" s="620"/>
      <c r="Y12" s="215"/>
      <c r="Z12" s="621"/>
      <c r="AA12" s="621"/>
      <c r="AB12" s="621"/>
      <c r="AC12" s="621"/>
      <c r="AD12" s="621"/>
      <c r="AE12" s="621"/>
    </row>
    <row r="13" spans="1:31" ht="15.75" thickBot="1">
      <c r="A13" s="1993"/>
      <c r="B13" s="623"/>
      <c r="C13" s="624"/>
      <c r="D13" s="625"/>
      <c r="E13" s="626"/>
      <c r="F13" s="627"/>
      <c r="G13" s="625"/>
      <c r="H13" s="626"/>
      <c r="I13" s="627"/>
      <c r="J13" s="625"/>
      <c r="K13" s="626"/>
      <c r="L13" s="627"/>
      <c r="M13" s="625"/>
      <c r="N13" s="626"/>
      <c r="O13" s="627"/>
      <c r="P13" s="625"/>
      <c r="Q13" s="626"/>
      <c r="R13" s="627"/>
      <c r="S13" s="619"/>
      <c r="T13" s="619"/>
      <c r="U13" s="619"/>
      <c r="V13" s="620"/>
      <c r="W13" s="620"/>
      <c r="X13" s="620"/>
      <c r="Y13" s="215"/>
      <c r="Z13" s="621"/>
      <c r="AA13" s="621"/>
      <c r="AB13" s="621"/>
      <c r="AC13" s="621"/>
      <c r="AD13" s="621"/>
      <c r="AE13" s="621"/>
    </row>
    <row r="14" spans="1:31" s="406" customFormat="1" ht="78.75" customHeight="1">
      <c r="A14" s="1993"/>
      <c r="B14" s="1989">
        <v>12002</v>
      </c>
      <c r="C14" s="416" t="s">
        <v>276</v>
      </c>
      <c r="D14" s="612">
        <f t="shared" ref="D14:P14" si="1">+D15</f>
        <v>258316.39</v>
      </c>
      <c r="E14" s="613">
        <f t="shared" si="1"/>
        <v>212928.31</v>
      </c>
      <c r="F14" s="614">
        <f t="shared" si="1"/>
        <v>45388.08</v>
      </c>
      <c r="G14" s="612">
        <f t="shared" si="1"/>
        <v>471244.7</v>
      </c>
      <c r="H14" s="613">
        <f t="shared" si="1"/>
        <v>425856.62</v>
      </c>
      <c r="I14" s="614">
        <f t="shared" si="1"/>
        <v>45388.08</v>
      </c>
      <c r="J14" s="612">
        <f t="shared" si="1"/>
        <v>471244.7</v>
      </c>
      <c r="K14" s="613">
        <f t="shared" si="1"/>
        <v>425856.62</v>
      </c>
      <c r="L14" s="614">
        <f t="shared" si="1"/>
        <v>45388.08</v>
      </c>
      <c r="M14" s="612">
        <f t="shared" si="1"/>
        <v>516632.78</v>
      </c>
      <c r="N14" s="560">
        <f>N15</f>
        <v>425856.62</v>
      </c>
      <c r="O14" s="561">
        <f>O15</f>
        <v>90776.16</v>
      </c>
      <c r="P14" s="612">
        <f t="shared" si="1"/>
        <v>516632.78</v>
      </c>
      <c r="Q14" s="560">
        <f>Q15</f>
        <v>425856.62</v>
      </c>
      <c r="R14" s="561">
        <f>R15</f>
        <v>90776.16</v>
      </c>
      <c r="S14" s="615"/>
      <c r="T14" s="615"/>
      <c r="U14" s="615"/>
      <c r="V14" s="628"/>
      <c r="W14" s="628"/>
      <c r="X14" s="628"/>
      <c r="Y14" s="616"/>
      <c r="Z14" s="617"/>
      <c r="AA14" s="617"/>
      <c r="AB14" s="617"/>
      <c r="AC14" s="617"/>
      <c r="AD14" s="617"/>
      <c r="AE14" s="617"/>
    </row>
    <row r="15" spans="1:31" ht="22.5" customHeight="1" thickBot="1">
      <c r="A15" s="1993"/>
      <c r="B15" s="1991"/>
      <c r="C15" s="434" t="s">
        <v>292</v>
      </c>
      <c r="D15" s="588">
        <f>+E15+F15</f>
        <v>258316.39</v>
      </c>
      <c r="E15" s="439">
        <f>425856.62/2</f>
        <v>212928.31</v>
      </c>
      <c r="F15" s="440">
        <f>90776.16/2</f>
        <v>45388.08</v>
      </c>
      <c r="G15" s="588">
        <f>+H15+I15</f>
        <v>471244.7</v>
      </c>
      <c r="H15" s="439">
        <f>425856.62</f>
        <v>425856.62</v>
      </c>
      <c r="I15" s="440">
        <f>90776.16/2</f>
        <v>45388.08</v>
      </c>
      <c r="J15" s="588">
        <f>+K15+L15</f>
        <v>471244.7</v>
      </c>
      <c r="K15" s="439">
        <f>425856.62</f>
        <v>425856.62</v>
      </c>
      <c r="L15" s="440">
        <f>90776.16/2</f>
        <v>45388.08</v>
      </c>
      <c r="M15" s="588">
        <f>+N15+O15</f>
        <v>516632.78</v>
      </c>
      <c r="N15" s="568">
        <v>425856.62</v>
      </c>
      <c r="O15" s="569">
        <v>90776.16</v>
      </c>
      <c r="P15" s="588">
        <f>+Q15+R15</f>
        <v>516632.78</v>
      </c>
      <c r="Q15" s="568">
        <v>425856.62</v>
      </c>
      <c r="R15" s="569">
        <v>90776.16</v>
      </c>
      <c r="S15" s="618"/>
      <c r="T15" s="619"/>
      <c r="U15" s="619"/>
      <c r="V15" s="620"/>
      <c r="W15" s="620"/>
      <c r="X15" s="620"/>
      <c r="Y15" s="215"/>
      <c r="Z15" s="621"/>
      <c r="AA15" s="621"/>
      <c r="AB15" s="621"/>
      <c r="AC15" s="621"/>
      <c r="AD15" s="621"/>
      <c r="AE15" s="621"/>
    </row>
    <row r="16" spans="1:31" ht="15.75" thickBot="1">
      <c r="A16" s="1993"/>
      <c r="B16" s="623"/>
      <c r="C16" s="624"/>
      <c r="D16" s="625"/>
      <c r="E16" s="626"/>
      <c r="F16" s="627"/>
      <c r="G16" s="625"/>
      <c r="H16" s="626"/>
      <c r="I16" s="627"/>
      <c r="J16" s="625"/>
      <c r="K16" s="626"/>
      <c r="L16" s="627"/>
      <c r="M16" s="625"/>
      <c r="N16" s="626"/>
      <c r="O16" s="627"/>
      <c r="P16" s="625"/>
      <c r="Q16" s="626"/>
      <c r="R16" s="627"/>
      <c r="S16" s="619"/>
      <c r="T16" s="619"/>
      <c r="U16" s="619"/>
      <c r="V16" s="620"/>
      <c r="W16" s="620"/>
      <c r="X16" s="620"/>
      <c r="Y16" s="215"/>
      <c r="Z16" s="621"/>
      <c r="AA16" s="621"/>
      <c r="AB16" s="621"/>
      <c r="AC16" s="621"/>
      <c r="AD16" s="621"/>
      <c r="AE16" s="621"/>
    </row>
    <row r="17" spans="1:31" s="406" customFormat="1" ht="85.5" customHeight="1">
      <c r="A17" s="1993"/>
      <c r="B17" s="1995">
        <v>32001</v>
      </c>
      <c r="C17" s="416" t="s">
        <v>275</v>
      </c>
      <c r="D17" s="612">
        <f t="shared" ref="D17:P17" si="2">SUM(D18:D25)</f>
        <v>497393.05999999994</v>
      </c>
      <c r="E17" s="613">
        <f t="shared" si="2"/>
        <v>413019.505</v>
      </c>
      <c r="F17" s="614">
        <f t="shared" si="2"/>
        <v>84373.555000000008</v>
      </c>
      <c r="G17" s="612">
        <f t="shared" si="2"/>
        <v>994786.11999999988</v>
      </c>
      <c r="H17" s="613">
        <f t="shared" si="2"/>
        <v>826039.01</v>
      </c>
      <c r="I17" s="614">
        <f t="shared" si="2"/>
        <v>168747.11000000002</v>
      </c>
      <c r="J17" s="612">
        <f t="shared" si="2"/>
        <v>994786.11999999988</v>
      </c>
      <c r="K17" s="613">
        <f t="shared" si="2"/>
        <v>826039.01</v>
      </c>
      <c r="L17" s="614">
        <f t="shared" si="2"/>
        <v>168747.11000000002</v>
      </c>
      <c r="M17" s="612">
        <f t="shared" si="2"/>
        <v>994786.12000000011</v>
      </c>
      <c r="N17" s="560">
        <f t="shared" ref="N17:O17" si="3">SUM(N18:N25)</f>
        <v>826039.01</v>
      </c>
      <c r="O17" s="561">
        <f t="shared" si="3"/>
        <v>168747.11000000002</v>
      </c>
      <c r="P17" s="612">
        <f t="shared" si="2"/>
        <v>994786.12000000011</v>
      </c>
      <c r="Q17" s="560">
        <f t="shared" ref="Q17:R17" si="4">SUM(Q18:Q25)</f>
        <v>826039.01</v>
      </c>
      <c r="R17" s="561">
        <f t="shared" si="4"/>
        <v>168747.11000000002</v>
      </c>
      <c r="S17" s="615"/>
      <c r="T17" s="615"/>
      <c r="U17" s="615"/>
      <c r="V17" s="628"/>
      <c r="W17" s="628"/>
      <c r="X17" s="628"/>
      <c r="Y17" s="616"/>
      <c r="Z17" s="617"/>
      <c r="AA17" s="617"/>
      <c r="AB17" s="617"/>
      <c r="AC17" s="617"/>
      <c r="AD17" s="617"/>
      <c r="AE17" s="617"/>
    </row>
    <row r="18" spans="1:31" ht="16.5" customHeight="1">
      <c r="A18" s="1993"/>
      <c r="B18" s="1996"/>
      <c r="C18" s="425" t="s">
        <v>293</v>
      </c>
      <c r="D18" s="429">
        <f t="shared" ref="D18:D25" si="5">+E18+F18</f>
        <v>8400</v>
      </c>
      <c r="E18" s="430">
        <v>5900</v>
      </c>
      <c r="F18" s="431">
        <v>2500</v>
      </c>
      <c r="G18" s="429">
        <f t="shared" ref="G18:G25" si="6">+H18+I18</f>
        <v>16800</v>
      </c>
      <c r="H18" s="430">
        <f>5900*2</f>
        <v>11800</v>
      </c>
      <c r="I18" s="431">
        <f>2500*2</f>
        <v>5000</v>
      </c>
      <c r="J18" s="429">
        <f t="shared" ref="J18:J25" si="7">+K18+L18</f>
        <v>16800</v>
      </c>
      <c r="K18" s="430">
        <f>5900*2</f>
        <v>11800</v>
      </c>
      <c r="L18" s="431">
        <f>2500*2</f>
        <v>5000</v>
      </c>
      <c r="M18" s="429">
        <f t="shared" ref="M18:M25" si="8">+N18+O18</f>
        <v>16800</v>
      </c>
      <c r="N18" s="430">
        <v>11800</v>
      </c>
      <c r="O18" s="431">
        <v>5000</v>
      </c>
      <c r="P18" s="429">
        <f t="shared" ref="P18:P25" si="9">+Q18+R18</f>
        <v>16800</v>
      </c>
      <c r="Q18" s="430">
        <v>11800</v>
      </c>
      <c r="R18" s="431">
        <v>5000</v>
      </c>
      <c r="S18" s="618"/>
      <c r="T18" s="619"/>
      <c r="U18" s="619"/>
      <c r="V18" s="620"/>
      <c r="W18" s="620"/>
      <c r="X18" s="620"/>
      <c r="Y18" s="215"/>
      <c r="Z18" s="621"/>
      <c r="AA18" s="621"/>
      <c r="AB18" s="621"/>
      <c r="AC18" s="621"/>
      <c r="AD18" s="621"/>
      <c r="AE18" s="621"/>
    </row>
    <row r="19" spans="1:31" ht="18" customHeight="1">
      <c r="A19" s="1993"/>
      <c r="B19" s="1996"/>
      <c r="C19" s="425" t="s">
        <v>294</v>
      </c>
      <c r="D19" s="429">
        <f t="shared" si="5"/>
        <v>134849.60000000001</v>
      </c>
      <c r="E19" s="430">
        <f>224749.3/2</f>
        <v>112374.65</v>
      </c>
      <c r="F19" s="431">
        <f>44949.9/2</f>
        <v>22474.95</v>
      </c>
      <c r="G19" s="429">
        <f t="shared" si="6"/>
        <v>269699.20000000001</v>
      </c>
      <c r="H19" s="430">
        <f>224749.3</f>
        <v>224749.3</v>
      </c>
      <c r="I19" s="431">
        <f>44949.9</f>
        <v>44949.9</v>
      </c>
      <c r="J19" s="429">
        <f t="shared" si="7"/>
        <v>269699.20000000001</v>
      </c>
      <c r="K19" s="430">
        <f>224749.3</f>
        <v>224749.3</v>
      </c>
      <c r="L19" s="431">
        <f>44949.9</f>
        <v>44949.9</v>
      </c>
      <c r="M19" s="429">
        <f t="shared" si="8"/>
        <v>269699.20000000001</v>
      </c>
      <c r="N19" s="430">
        <v>224749.3</v>
      </c>
      <c r="O19" s="431">
        <v>44949.9</v>
      </c>
      <c r="P19" s="429">
        <f t="shared" si="9"/>
        <v>269699.20000000001</v>
      </c>
      <c r="Q19" s="430">
        <v>224749.3</v>
      </c>
      <c r="R19" s="431">
        <v>44949.9</v>
      </c>
      <c r="S19" s="618"/>
      <c r="T19" s="619"/>
      <c r="U19" s="619"/>
      <c r="V19" s="620"/>
      <c r="W19" s="620"/>
      <c r="X19" s="620"/>
      <c r="Y19" s="215"/>
      <c r="Z19" s="621"/>
      <c r="AA19" s="621"/>
      <c r="AB19" s="621"/>
      <c r="AC19" s="621"/>
      <c r="AD19" s="621"/>
      <c r="AE19" s="621"/>
    </row>
    <row r="20" spans="1:31" ht="24" customHeight="1">
      <c r="A20" s="1993"/>
      <c r="B20" s="1996"/>
      <c r="C20" s="425" t="s">
        <v>295</v>
      </c>
      <c r="D20" s="429">
        <f t="shared" si="5"/>
        <v>31318.6</v>
      </c>
      <c r="E20" s="430">
        <f>52197.7/2</f>
        <v>26098.85</v>
      </c>
      <c r="F20" s="431">
        <f>10439.5/2</f>
        <v>5219.75</v>
      </c>
      <c r="G20" s="429">
        <f t="shared" si="6"/>
        <v>62637.2</v>
      </c>
      <c r="H20" s="430">
        <f>52197.7</f>
        <v>52197.7</v>
      </c>
      <c r="I20" s="431">
        <f>10439.5</f>
        <v>10439.5</v>
      </c>
      <c r="J20" s="429">
        <f t="shared" si="7"/>
        <v>62637.2</v>
      </c>
      <c r="K20" s="430">
        <f>52197.7</f>
        <v>52197.7</v>
      </c>
      <c r="L20" s="431">
        <f>10439.5</f>
        <v>10439.5</v>
      </c>
      <c r="M20" s="429">
        <f t="shared" si="8"/>
        <v>62637.2</v>
      </c>
      <c r="N20" s="430">
        <v>52197.7</v>
      </c>
      <c r="O20" s="431">
        <v>10439.5</v>
      </c>
      <c r="P20" s="429">
        <f t="shared" si="9"/>
        <v>62637.2</v>
      </c>
      <c r="Q20" s="430">
        <v>52197.7</v>
      </c>
      <c r="R20" s="431">
        <v>10439.5</v>
      </c>
      <c r="S20" s="618"/>
      <c r="T20" s="619"/>
      <c r="U20" s="619"/>
      <c r="V20" s="620"/>
      <c r="W20" s="620"/>
      <c r="X20" s="620"/>
      <c r="Y20" s="215"/>
      <c r="Z20" s="621"/>
      <c r="AA20" s="621"/>
      <c r="AB20" s="621"/>
      <c r="AC20" s="621"/>
      <c r="AD20" s="621"/>
      <c r="AE20" s="621"/>
    </row>
    <row r="21" spans="1:31" ht="16.5" customHeight="1">
      <c r="A21" s="1993"/>
      <c r="B21" s="1996"/>
      <c r="C21" s="425" t="s">
        <v>296</v>
      </c>
      <c r="D21" s="429">
        <f t="shared" si="5"/>
        <v>43785.15</v>
      </c>
      <c r="E21" s="430">
        <f>73135/2</f>
        <v>36567.5</v>
      </c>
      <c r="F21" s="431">
        <f>14435.3/2</f>
        <v>7217.65</v>
      </c>
      <c r="G21" s="429">
        <f t="shared" si="6"/>
        <v>87570.3</v>
      </c>
      <c r="H21" s="430">
        <f>73135</f>
        <v>73135</v>
      </c>
      <c r="I21" s="431">
        <f>14435.3</f>
        <v>14435.3</v>
      </c>
      <c r="J21" s="429">
        <f t="shared" si="7"/>
        <v>87570.3</v>
      </c>
      <c r="K21" s="430">
        <f>73135</f>
        <v>73135</v>
      </c>
      <c r="L21" s="431">
        <f>14435.3</f>
        <v>14435.3</v>
      </c>
      <c r="M21" s="429">
        <f t="shared" si="8"/>
        <v>87570.3</v>
      </c>
      <c r="N21" s="430">
        <v>73135</v>
      </c>
      <c r="O21" s="431">
        <v>14435.3</v>
      </c>
      <c r="P21" s="429">
        <f t="shared" si="9"/>
        <v>87570.3</v>
      </c>
      <c r="Q21" s="430">
        <v>73135</v>
      </c>
      <c r="R21" s="431">
        <v>14435.3</v>
      </c>
      <c r="S21" s="618"/>
      <c r="T21" s="619"/>
      <c r="U21" s="619"/>
      <c r="V21" s="620"/>
      <c r="W21" s="620"/>
      <c r="X21" s="620"/>
      <c r="Y21" s="215"/>
      <c r="Z21" s="621"/>
      <c r="AA21" s="621"/>
      <c r="AB21" s="621"/>
      <c r="AC21" s="621"/>
      <c r="AD21" s="621"/>
      <c r="AE21" s="621"/>
    </row>
    <row r="22" spans="1:31" ht="16.5" customHeight="1">
      <c r="A22" s="1993"/>
      <c r="B22" s="1996"/>
      <c r="C22" s="425" t="s">
        <v>297</v>
      </c>
      <c r="D22" s="429">
        <f t="shared" si="5"/>
        <v>5521.2</v>
      </c>
      <c r="E22" s="430">
        <f>8643.3/2</f>
        <v>4321.6499999999996</v>
      </c>
      <c r="F22" s="431">
        <f>2399.1/2</f>
        <v>1199.55</v>
      </c>
      <c r="G22" s="429">
        <f t="shared" si="6"/>
        <v>11042.4</v>
      </c>
      <c r="H22" s="430">
        <f>8643.3</f>
        <v>8643.2999999999993</v>
      </c>
      <c r="I22" s="431">
        <f>2399.1</f>
        <v>2399.1</v>
      </c>
      <c r="J22" s="429">
        <f t="shared" si="7"/>
        <v>11042.4</v>
      </c>
      <c r="K22" s="430">
        <f>8643.3</f>
        <v>8643.2999999999993</v>
      </c>
      <c r="L22" s="431">
        <f>2399.1</f>
        <v>2399.1</v>
      </c>
      <c r="M22" s="429">
        <f t="shared" si="8"/>
        <v>11042.399999999996</v>
      </c>
      <c r="N22" s="430">
        <v>8643.2999999999956</v>
      </c>
      <c r="O22" s="431">
        <v>2399.1000000000004</v>
      </c>
      <c r="P22" s="429">
        <f t="shared" si="9"/>
        <v>11042.399999999996</v>
      </c>
      <c r="Q22" s="430">
        <v>8643.2999999999956</v>
      </c>
      <c r="R22" s="431">
        <v>2399.1000000000004</v>
      </c>
      <c r="S22" s="618"/>
      <c r="T22" s="619"/>
      <c r="U22" s="619"/>
      <c r="V22" s="620"/>
      <c r="W22" s="620"/>
      <c r="X22" s="620"/>
      <c r="Y22" s="215"/>
      <c r="Z22" s="621"/>
      <c r="AA22" s="621"/>
      <c r="AB22" s="621"/>
      <c r="AC22" s="621"/>
      <c r="AD22" s="621"/>
      <c r="AE22" s="621"/>
    </row>
    <row r="23" spans="1:31" ht="16.5" customHeight="1">
      <c r="A23" s="1993"/>
      <c r="B23" s="1996"/>
      <c r="C23" s="425" t="s">
        <v>298</v>
      </c>
      <c r="D23" s="429">
        <f t="shared" si="5"/>
        <v>210427.40999999997</v>
      </c>
      <c r="E23" s="430">
        <f>350361.91/2</f>
        <v>175180.95499999999</v>
      </c>
      <c r="F23" s="431">
        <f>70492.91/2</f>
        <v>35246.455000000002</v>
      </c>
      <c r="G23" s="429">
        <f t="shared" si="6"/>
        <v>420854.81999999995</v>
      </c>
      <c r="H23" s="430">
        <f>350361.91</f>
        <v>350361.91</v>
      </c>
      <c r="I23" s="431">
        <f>70492.91</f>
        <v>70492.91</v>
      </c>
      <c r="J23" s="429">
        <f t="shared" si="7"/>
        <v>420854.81999999995</v>
      </c>
      <c r="K23" s="430">
        <f>350361.91</f>
        <v>350361.91</v>
      </c>
      <c r="L23" s="431">
        <f>70492.91</f>
        <v>70492.91</v>
      </c>
      <c r="M23" s="429">
        <f t="shared" si="8"/>
        <v>420854.82000000007</v>
      </c>
      <c r="N23" s="430">
        <v>350361.91000000003</v>
      </c>
      <c r="O23" s="431">
        <v>70492.91</v>
      </c>
      <c r="P23" s="429">
        <f t="shared" si="9"/>
        <v>420854.82000000007</v>
      </c>
      <c r="Q23" s="430">
        <v>350361.91000000003</v>
      </c>
      <c r="R23" s="431">
        <v>70492.91</v>
      </c>
      <c r="S23" s="618"/>
      <c r="T23" s="619"/>
      <c r="U23" s="619"/>
      <c r="V23" s="620"/>
      <c r="W23" s="620"/>
      <c r="X23" s="620"/>
      <c r="Y23" s="215"/>
      <c r="Z23" s="621"/>
      <c r="AA23" s="621"/>
      <c r="AB23" s="621"/>
      <c r="AC23" s="621"/>
      <c r="AD23" s="621"/>
      <c r="AE23" s="621"/>
    </row>
    <row r="24" spans="1:31" ht="16.5" customHeight="1">
      <c r="A24" s="1993"/>
      <c r="B24" s="1996"/>
      <c r="C24" s="425" t="s">
        <v>299</v>
      </c>
      <c r="D24" s="429">
        <f t="shared" si="5"/>
        <v>34214.300000000003</v>
      </c>
      <c r="E24" s="430">
        <f>57023.8/2</f>
        <v>28511.9</v>
      </c>
      <c r="F24" s="431">
        <f>11404.8/2</f>
        <v>5702.4</v>
      </c>
      <c r="G24" s="429">
        <f t="shared" si="6"/>
        <v>68428.600000000006</v>
      </c>
      <c r="H24" s="430">
        <f>57023.8</f>
        <v>57023.8</v>
      </c>
      <c r="I24" s="431">
        <f>11404.8</f>
        <v>11404.8</v>
      </c>
      <c r="J24" s="429">
        <f t="shared" si="7"/>
        <v>68428.600000000006</v>
      </c>
      <c r="K24" s="430">
        <f>57023.8</f>
        <v>57023.8</v>
      </c>
      <c r="L24" s="431">
        <f>11404.8</f>
        <v>11404.8</v>
      </c>
      <c r="M24" s="429">
        <f t="shared" si="8"/>
        <v>68428.600000000006</v>
      </c>
      <c r="N24" s="430">
        <v>57023.8</v>
      </c>
      <c r="O24" s="431">
        <v>11404.8</v>
      </c>
      <c r="P24" s="429">
        <f t="shared" si="9"/>
        <v>68428.600000000006</v>
      </c>
      <c r="Q24" s="430">
        <v>57023.8</v>
      </c>
      <c r="R24" s="431">
        <v>11404.8</v>
      </c>
      <c r="S24" s="618"/>
      <c r="T24" s="619"/>
      <c r="U24" s="619"/>
      <c r="V24" s="620"/>
      <c r="W24" s="620"/>
      <c r="X24" s="620"/>
      <c r="Y24" s="215"/>
      <c r="Z24" s="621"/>
      <c r="AA24" s="621"/>
      <c r="AB24" s="621"/>
      <c r="AC24" s="621"/>
      <c r="AD24" s="621"/>
      <c r="AE24" s="621"/>
    </row>
    <row r="25" spans="1:31" ht="16.5" customHeight="1" thickBot="1">
      <c r="A25" s="1994"/>
      <c r="B25" s="1997"/>
      <c r="C25" s="434" t="s">
        <v>300</v>
      </c>
      <c r="D25" s="588">
        <f t="shared" si="5"/>
        <v>28876.799999999999</v>
      </c>
      <c r="E25" s="439">
        <f>48128/2</f>
        <v>24064</v>
      </c>
      <c r="F25" s="440">
        <f>9625.6/2</f>
        <v>4812.8</v>
      </c>
      <c r="G25" s="588">
        <f t="shared" si="6"/>
        <v>57753.599999999999</v>
      </c>
      <c r="H25" s="439">
        <f>48128</f>
        <v>48128</v>
      </c>
      <c r="I25" s="440">
        <f>9625.6</f>
        <v>9625.6</v>
      </c>
      <c r="J25" s="588">
        <f t="shared" si="7"/>
        <v>57753.599999999999</v>
      </c>
      <c r="K25" s="439">
        <f>48128</f>
        <v>48128</v>
      </c>
      <c r="L25" s="440">
        <f>9625.6</f>
        <v>9625.6</v>
      </c>
      <c r="M25" s="588">
        <f t="shared" si="8"/>
        <v>57753.599999999999</v>
      </c>
      <c r="N25" s="430">
        <v>48128</v>
      </c>
      <c r="O25" s="431">
        <v>9625.6</v>
      </c>
      <c r="P25" s="588">
        <f t="shared" si="9"/>
        <v>57753.599999999999</v>
      </c>
      <c r="Q25" s="430">
        <v>48128</v>
      </c>
      <c r="R25" s="431">
        <v>9625.6</v>
      </c>
      <c r="S25" s="618"/>
      <c r="T25" s="619"/>
      <c r="U25" s="619"/>
      <c r="V25" s="620"/>
      <c r="W25" s="620"/>
      <c r="X25" s="620"/>
      <c r="Y25" s="215"/>
      <c r="Z25" s="621"/>
      <c r="AA25" s="621"/>
      <c r="AB25" s="621"/>
      <c r="AC25" s="621"/>
      <c r="AD25" s="621"/>
      <c r="AE25" s="621"/>
    </row>
    <row r="26" spans="1:31" ht="17.25">
      <c r="A26" s="595"/>
      <c r="B26" s="407"/>
      <c r="P26" s="72"/>
      <c r="Q26" s="72"/>
      <c r="R26" s="72"/>
      <c r="S26" s="621"/>
      <c r="T26" s="621"/>
      <c r="U26" s="621"/>
      <c r="V26" s="629"/>
      <c r="W26" s="629"/>
      <c r="X26" s="629"/>
      <c r="Y26" s="621"/>
      <c r="Z26" s="621"/>
      <c r="AA26" s="621"/>
      <c r="AB26" s="621"/>
      <c r="AC26" s="621"/>
      <c r="AD26" s="621"/>
      <c r="AE26" s="621"/>
    </row>
  </sheetData>
  <mergeCells count="30">
    <mergeCell ref="A1:K2"/>
    <mergeCell ref="M4:O5"/>
    <mergeCell ref="M6:M7"/>
    <mergeCell ref="N6:N7"/>
    <mergeCell ref="O6:O7"/>
    <mergeCell ref="A4:B7"/>
    <mergeCell ref="C4:C7"/>
    <mergeCell ref="P4:R5"/>
    <mergeCell ref="D6:D7"/>
    <mergeCell ref="E6:E7"/>
    <mergeCell ref="F6:F7"/>
    <mergeCell ref="G6:G7"/>
    <mergeCell ref="H6:H7"/>
    <mergeCell ref="I6:I7"/>
    <mergeCell ref="J6:J7"/>
    <mergeCell ref="K6:K7"/>
    <mergeCell ref="L6:L7"/>
    <mergeCell ref="D4:F5"/>
    <mergeCell ref="G4:I5"/>
    <mergeCell ref="J4:L5"/>
    <mergeCell ref="P6:P7"/>
    <mergeCell ref="Q6:Q7"/>
    <mergeCell ref="R6:R7"/>
    <mergeCell ref="S6:S7"/>
    <mergeCell ref="A8:C8"/>
    <mergeCell ref="B10:B12"/>
    <mergeCell ref="A10:A25"/>
    <mergeCell ref="B14:B15"/>
    <mergeCell ref="B17:B25"/>
    <mergeCell ref="A9:C9"/>
  </mergeCells>
  <pageMargins left="0.7" right="0.7" top="0.75" bottom="0.75" header="0.3" footer="0.3"/>
  <ignoredErrors>
    <ignoredError sqref="G10:M14 P1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8"/>
  <sheetViews>
    <sheetView topLeftCell="B10" workbookViewId="0">
      <selection activeCell="G10" sqref="G10"/>
    </sheetView>
  </sheetViews>
  <sheetFormatPr defaultRowHeight="13.5"/>
  <cols>
    <col min="1" max="1" width="7.85546875" style="950" customWidth="1"/>
    <col min="2" max="2" width="12.28515625" style="950" customWidth="1"/>
    <col min="3" max="3" width="6.7109375" style="882" customWidth="1"/>
    <col min="4" max="4" width="45.5703125" style="883" customWidth="1"/>
    <col min="5" max="6" width="11.7109375" style="884" customWidth="1"/>
    <col min="7" max="7" width="11" style="884" customWidth="1"/>
    <col min="8" max="8" width="12.5703125" style="884" customWidth="1"/>
    <col min="9" max="9" width="14.7109375" style="884" customWidth="1"/>
    <col min="10" max="10" width="31" style="884" customWidth="1"/>
    <col min="11" max="12" width="11" style="884" customWidth="1"/>
    <col min="13" max="257" width="9.140625" style="886"/>
    <col min="258" max="258" width="12.28515625" style="886" customWidth="1"/>
    <col min="259" max="259" width="6.7109375" style="886" customWidth="1"/>
    <col min="260" max="260" width="45.5703125" style="886" customWidth="1"/>
    <col min="261" max="262" width="11.7109375" style="886" customWidth="1"/>
    <col min="263" max="263" width="11" style="886" customWidth="1"/>
    <col min="264" max="264" width="12.5703125" style="886" customWidth="1"/>
    <col min="265" max="265" width="14.7109375" style="886" customWidth="1"/>
    <col min="266" max="266" width="31" style="886" customWidth="1"/>
    <col min="267" max="268" width="11" style="886" customWidth="1"/>
    <col min="269" max="513" width="9.140625" style="886"/>
    <col min="514" max="514" width="12.28515625" style="886" customWidth="1"/>
    <col min="515" max="515" width="6.7109375" style="886" customWidth="1"/>
    <col min="516" max="516" width="45.5703125" style="886" customWidth="1"/>
    <col min="517" max="518" width="11.7109375" style="886" customWidth="1"/>
    <col min="519" max="519" width="11" style="886" customWidth="1"/>
    <col min="520" max="520" width="12.5703125" style="886" customWidth="1"/>
    <col min="521" max="521" width="14.7109375" style="886" customWidth="1"/>
    <col min="522" max="522" width="31" style="886" customWidth="1"/>
    <col min="523" max="524" width="11" style="886" customWidth="1"/>
    <col min="525" max="769" width="9.140625" style="886"/>
    <col min="770" max="770" width="12.28515625" style="886" customWidth="1"/>
    <col min="771" max="771" width="6.7109375" style="886" customWidth="1"/>
    <col min="772" max="772" width="45.5703125" style="886" customWidth="1"/>
    <col min="773" max="774" width="11.7109375" style="886" customWidth="1"/>
    <col min="775" max="775" width="11" style="886" customWidth="1"/>
    <col min="776" max="776" width="12.5703125" style="886" customWidth="1"/>
    <col min="777" max="777" width="14.7109375" style="886" customWidth="1"/>
    <col min="778" max="778" width="31" style="886" customWidth="1"/>
    <col min="779" max="780" width="11" style="886" customWidth="1"/>
    <col min="781" max="1025" width="9.140625" style="886"/>
    <col min="1026" max="1026" width="12.28515625" style="886" customWidth="1"/>
    <col min="1027" max="1027" width="6.7109375" style="886" customWidth="1"/>
    <col min="1028" max="1028" width="45.5703125" style="886" customWidth="1"/>
    <col min="1029" max="1030" width="11.7109375" style="886" customWidth="1"/>
    <col min="1031" max="1031" width="11" style="886" customWidth="1"/>
    <col min="1032" max="1032" width="12.5703125" style="886" customWidth="1"/>
    <col min="1033" max="1033" width="14.7109375" style="886" customWidth="1"/>
    <col min="1034" max="1034" width="31" style="886" customWidth="1"/>
    <col min="1035" max="1036" width="11" style="886" customWidth="1"/>
    <col min="1037" max="1281" width="9.140625" style="886"/>
    <col min="1282" max="1282" width="12.28515625" style="886" customWidth="1"/>
    <col min="1283" max="1283" width="6.7109375" style="886" customWidth="1"/>
    <col min="1284" max="1284" width="45.5703125" style="886" customWidth="1"/>
    <col min="1285" max="1286" width="11.7109375" style="886" customWidth="1"/>
    <col min="1287" max="1287" width="11" style="886" customWidth="1"/>
    <col min="1288" max="1288" width="12.5703125" style="886" customWidth="1"/>
    <col min="1289" max="1289" width="14.7109375" style="886" customWidth="1"/>
    <col min="1290" max="1290" width="31" style="886" customWidth="1"/>
    <col min="1291" max="1292" width="11" style="886" customWidth="1"/>
    <col min="1293" max="1537" width="9.140625" style="886"/>
    <col min="1538" max="1538" width="12.28515625" style="886" customWidth="1"/>
    <col min="1539" max="1539" width="6.7109375" style="886" customWidth="1"/>
    <col min="1540" max="1540" width="45.5703125" style="886" customWidth="1"/>
    <col min="1541" max="1542" width="11.7109375" style="886" customWidth="1"/>
    <col min="1543" max="1543" width="11" style="886" customWidth="1"/>
    <col min="1544" max="1544" width="12.5703125" style="886" customWidth="1"/>
    <col min="1545" max="1545" width="14.7109375" style="886" customWidth="1"/>
    <col min="1546" max="1546" width="31" style="886" customWidth="1"/>
    <col min="1547" max="1548" width="11" style="886" customWidth="1"/>
    <col min="1549" max="1793" width="9.140625" style="886"/>
    <col min="1794" max="1794" width="12.28515625" style="886" customWidth="1"/>
    <col min="1795" max="1795" width="6.7109375" style="886" customWidth="1"/>
    <col min="1796" max="1796" width="45.5703125" style="886" customWidth="1"/>
    <col min="1797" max="1798" width="11.7109375" style="886" customWidth="1"/>
    <col min="1799" max="1799" width="11" style="886" customWidth="1"/>
    <col min="1800" max="1800" width="12.5703125" style="886" customWidth="1"/>
    <col min="1801" max="1801" width="14.7109375" style="886" customWidth="1"/>
    <col min="1802" max="1802" width="31" style="886" customWidth="1"/>
    <col min="1803" max="1804" width="11" style="886" customWidth="1"/>
    <col min="1805" max="2049" width="9.140625" style="886"/>
    <col min="2050" max="2050" width="12.28515625" style="886" customWidth="1"/>
    <col min="2051" max="2051" width="6.7109375" style="886" customWidth="1"/>
    <col min="2052" max="2052" width="45.5703125" style="886" customWidth="1"/>
    <col min="2053" max="2054" width="11.7109375" style="886" customWidth="1"/>
    <col min="2055" max="2055" width="11" style="886" customWidth="1"/>
    <col min="2056" max="2056" width="12.5703125" style="886" customWidth="1"/>
    <col min="2057" max="2057" width="14.7109375" style="886" customWidth="1"/>
    <col min="2058" max="2058" width="31" style="886" customWidth="1"/>
    <col min="2059" max="2060" width="11" style="886" customWidth="1"/>
    <col min="2061" max="2305" width="9.140625" style="886"/>
    <col min="2306" max="2306" width="12.28515625" style="886" customWidth="1"/>
    <col min="2307" max="2307" width="6.7109375" style="886" customWidth="1"/>
    <col min="2308" max="2308" width="45.5703125" style="886" customWidth="1"/>
    <col min="2309" max="2310" width="11.7109375" style="886" customWidth="1"/>
    <col min="2311" max="2311" width="11" style="886" customWidth="1"/>
    <col min="2312" max="2312" width="12.5703125" style="886" customWidth="1"/>
    <col min="2313" max="2313" width="14.7109375" style="886" customWidth="1"/>
    <col min="2314" max="2314" width="31" style="886" customWidth="1"/>
    <col min="2315" max="2316" width="11" style="886" customWidth="1"/>
    <col min="2317" max="2561" width="9.140625" style="886"/>
    <col min="2562" max="2562" width="12.28515625" style="886" customWidth="1"/>
    <col min="2563" max="2563" width="6.7109375" style="886" customWidth="1"/>
    <col min="2564" max="2564" width="45.5703125" style="886" customWidth="1"/>
    <col min="2565" max="2566" width="11.7109375" style="886" customWidth="1"/>
    <col min="2567" max="2567" width="11" style="886" customWidth="1"/>
    <col min="2568" max="2568" width="12.5703125" style="886" customWidth="1"/>
    <col min="2569" max="2569" width="14.7109375" style="886" customWidth="1"/>
    <col min="2570" max="2570" width="31" style="886" customWidth="1"/>
    <col min="2571" max="2572" width="11" style="886" customWidth="1"/>
    <col min="2573" max="2817" width="9.140625" style="886"/>
    <col min="2818" max="2818" width="12.28515625" style="886" customWidth="1"/>
    <col min="2819" max="2819" width="6.7109375" style="886" customWidth="1"/>
    <col min="2820" max="2820" width="45.5703125" style="886" customWidth="1"/>
    <col min="2821" max="2822" width="11.7109375" style="886" customWidth="1"/>
    <col min="2823" max="2823" width="11" style="886" customWidth="1"/>
    <col min="2824" max="2824" width="12.5703125" style="886" customWidth="1"/>
    <col min="2825" max="2825" width="14.7109375" style="886" customWidth="1"/>
    <col min="2826" max="2826" width="31" style="886" customWidth="1"/>
    <col min="2827" max="2828" width="11" style="886" customWidth="1"/>
    <col min="2829" max="3073" width="9.140625" style="886"/>
    <col min="3074" max="3074" width="12.28515625" style="886" customWidth="1"/>
    <col min="3075" max="3075" width="6.7109375" style="886" customWidth="1"/>
    <col min="3076" max="3076" width="45.5703125" style="886" customWidth="1"/>
    <col min="3077" max="3078" width="11.7109375" style="886" customWidth="1"/>
    <col min="3079" max="3079" width="11" style="886" customWidth="1"/>
    <col min="3080" max="3080" width="12.5703125" style="886" customWidth="1"/>
    <col min="3081" max="3081" width="14.7109375" style="886" customWidth="1"/>
    <col min="3082" max="3082" width="31" style="886" customWidth="1"/>
    <col min="3083" max="3084" width="11" style="886" customWidth="1"/>
    <col min="3085" max="3329" width="9.140625" style="886"/>
    <col min="3330" max="3330" width="12.28515625" style="886" customWidth="1"/>
    <col min="3331" max="3331" width="6.7109375" style="886" customWidth="1"/>
    <col min="3332" max="3332" width="45.5703125" style="886" customWidth="1"/>
    <col min="3333" max="3334" width="11.7109375" style="886" customWidth="1"/>
    <col min="3335" max="3335" width="11" style="886" customWidth="1"/>
    <col min="3336" max="3336" width="12.5703125" style="886" customWidth="1"/>
    <col min="3337" max="3337" width="14.7109375" style="886" customWidth="1"/>
    <col min="3338" max="3338" width="31" style="886" customWidth="1"/>
    <col min="3339" max="3340" width="11" style="886" customWidth="1"/>
    <col min="3341" max="3585" width="9.140625" style="886"/>
    <col min="3586" max="3586" width="12.28515625" style="886" customWidth="1"/>
    <col min="3587" max="3587" width="6.7109375" style="886" customWidth="1"/>
    <col min="3588" max="3588" width="45.5703125" style="886" customWidth="1"/>
    <col min="3589" max="3590" width="11.7109375" style="886" customWidth="1"/>
    <col min="3591" max="3591" width="11" style="886" customWidth="1"/>
    <col min="3592" max="3592" width="12.5703125" style="886" customWidth="1"/>
    <col min="3593" max="3593" width="14.7109375" style="886" customWidth="1"/>
    <col min="3594" max="3594" width="31" style="886" customWidth="1"/>
    <col min="3595" max="3596" width="11" style="886" customWidth="1"/>
    <col min="3597" max="3841" width="9.140625" style="886"/>
    <col min="3842" max="3842" width="12.28515625" style="886" customWidth="1"/>
    <col min="3843" max="3843" width="6.7109375" style="886" customWidth="1"/>
    <col min="3844" max="3844" width="45.5703125" style="886" customWidth="1"/>
    <col min="3845" max="3846" width="11.7109375" style="886" customWidth="1"/>
    <col min="3847" max="3847" width="11" style="886" customWidth="1"/>
    <col min="3848" max="3848" width="12.5703125" style="886" customWidth="1"/>
    <col min="3849" max="3849" width="14.7109375" style="886" customWidth="1"/>
    <col min="3850" max="3850" width="31" style="886" customWidth="1"/>
    <col min="3851" max="3852" width="11" style="886" customWidth="1"/>
    <col min="3853" max="4097" width="9.140625" style="886"/>
    <col min="4098" max="4098" width="12.28515625" style="886" customWidth="1"/>
    <col min="4099" max="4099" width="6.7109375" style="886" customWidth="1"/>
    <col min="4100" max="4100" width="45.5703125" style="886" customWidth="1"/>
    <col min="4101" max="4102" width="11.7109375" style="886" customWidth="1"/>
    <col min="4103" max="4103" width="11" style="886" customWidth="1"/>
    <col min="4104" max="4104" width="12.5703125" style="886" customWidth="1"/>
    <col min="4105" max="4105" width="14.7109375" style="886" customWidth="1"/>
    <col min="4106" max="4106" width="31" style="886" customWidth="1"/>
    <col min="4107" max="4108" width="11" style="886" customWidth="1"/>
    <col min="4109" max="4353" width="9.140625" style="886"/>
    <col min="4354" max="4354" width="12.28515625" style="886" customWidth="1"/>
    <col min="4355" max="4355" width="6.7109375" style="886" customWidth="1"/>
    <col min="4356" max="4356" width="45.5703125" style="886" customWidth="1"/>
    <col min="4357" max="4358" width="11.7109375" style="886" customWidth="1"/>
    <col min="4359" max="4359" width="11" style="886" customWidth="1"/>
    <col min="4360" max="4360" width="12.5703125" style="886" customWidth="1"/>
    <col min="4361" max="4361" width="14.7109375" style="886" customWidth="1"/>
    <col min="4362" max="4362" width="31" style="886" customWidth="1"/>
    <col min="4363" max="4364" width="11" style="886" customWidth="1"/>
    <col min="4365" max="4609" width="9.140625" style="886"/>
    <col min="4610" max="4610" width="12.28515625" style="886" customWidth="1"/>
    <col min="4611" max="4611" width="6.7109375" style="886" customWidth="1"/>
    <col min="4612" max="4612" width="45.5703125" style="886" customWidth="1"/>
    <col min="4613" max="4614" width="11.7109375" style="886" customWidth="1"/>
    <col min="4615" max="4615" width="11" style="886" customWidth="1"/>
    <col min="4616" max="4616" width="12.5703125" style="886" customWidth="1"/>
    <col min="4617" max="4617" width="14.7109375" style="886" customWidth="1"/>
    <col min="4618" max="4618" width="31" style="886" customWidth="1"/>
    <col min="4619" max="4620" width="11" style="886" customWidth="1"/>
    <col min="4621" max="4865" width="9.140625" style="886"/>
    <col min="4866" max="4866" width="12.28515625" style="886" customWidth="1"/>
    <col min="4867" max="4867" width="6.7109375" style="886" customWidth="1"/>
    <col min="4868" max="4868" width="45.5703125" style="886" customWidth="1"/>
    <col min="4869" max="4870" width="11.7109375" style="886" customWidth="1"/>
    <col min="4871" max="4871" width="11" style="886" customWidth="1"/>
    <col min="4872" max="4872" width="12.5703125" style="886" customWidth="1"/>
    <col min="4873" max="4873" width="14.7109375" style="886" customWidth="1"/>
    <col min="4874" max="4874" width="31" style="886" customWidth="1"/>
    <col min="4875" max="4876" width="11" style="886" customWidth="1"/>
    <col min="4877" max="5121" width="9.140625" style="886"/>
    <col min="5122" max="5122" width="12.28515625" style="886" customWidth="1"/>
    <col min="5123" max="5123" width="6.7109375" style="886" customWidth="1"/>
    <col min="5124" max="5124" width="45.5703125" style="886" customWidth="1"/>
    <col min="5125" max="5126" width="11.7109375" style="886" customWidth="1"/>
    <col min="5127" max="5127" width="11" style="886" customWidth="1"/>
    <col min="5128" max="5128" width="12.5703125" style="886" customWidth="1"/>
    <col min="5129" max="5129" width="14.7109375" style="886" customWidth="1"/>
    <col min="5130" max="5130" width="31" style="886" customWidth="1"/>
    <col min="5131" max="5132" width="11" style="886" customWidth="1"/>
    <col min="5133" max="5377" width="9.140625" style="886"/>
    <col min="5378" max="5378" width="12.28515625" style="886" customWidth="1"/>
    <col min="5379" max="5379" width="6.7109375" style="886" customWidth="1"/>
    <col min="5380" max="5380" width="45.5703125" style="886" customWidth="1"/>
    <col min="5381" max="5382" width="11.7109375" style="886" customWidth="1"/>
    <col min="5383" max="5383" width="11" style="886" customWidth="1"/>
    <col min="5384" max="5384" width="12.5703125" style="886" customWidth="1"/>
    <col min="5385" max="5385" width="14.7109375" style="886" customWidth="1"/>
    <col min="5386" max="5386" width="31" style="886" customWidth="1"/>
    <col min="5387" max="5388" width="11" style="886" customWidth="1"/>
    <col min="5389" max="5633" width="9.140625" style="886"/>
    <col min="5634" max="5634" width="12.28515625" style="886" customWidth="1"/>
    <col min="5635" max="5635" width="6.7109375" style="886" customWidth="1"/>
    <col min="5636" max="5636" width="45.5703125" style="886" customWidth="1"/>
    <col min="5637" max="5638" width="11.7109375" style="886" customWidth="1"/>
    <col min="5639" max="5639" width="11" style="886" customWidth="1"/>
    <col min="5640" max="5640" width="12.5703125" style="886" customWidth="1"/>
    <col min="5641" max="5641" width="14.7109375" style="886" customWidth="1"/>
    <col min="5642" max="5642" width="31" style="886" customWidth="1"/>
    <col min="5643" max="5644" width="11" style="886" customWidth="1"/>
    <col min="5645" max="5889" width="9.140625" style="886"/>
    <col min="5890" max="5890" width="12.28515625" style="886" customWidth="1"/>
    <col min="5891" max="5891" width="6.7109375" style="886" customWidth="1"/>
    <col min="5892" max="5892" width="45.5703125" style="886" customWidth="1"/>
    <col min="5893" max="5894" width="11.7109375" style="886" customWidth="1"/>
    <col min="5895" max="5895" width="11" style="886" customWidth="1"/>
    <col min="5896" max="5896" width="12.5703125" style="886" customWidth="1"/>
    <col min="5897" max="5897" width="14.7109375" style="886" customWidth="1"/>
    <col min="5898" max="5898" width="31" style="886" customWidth="1"/>
    <col min="5899" max="5900" width="11" style="886" customWidth="1"/>
    <col min="5901" max="6145" width="9.140625" style="886"/>
    <col min="6146" max="6146" width="12.28515625" style="886" customWidth="1"/>
    <col min="6147" max="6147" width="6.7109375" style="886" customWidth="1"/>
    <col min="6148" max="6148" width="45.5703125" style="886" customWidth="1"/>
    <col min="6149" max="6150" width="11.7109375" style="886" customWidth="1"/>
    <col min="6151" max="6151" width="11" style="886" customWidth="1"/>
    <col min="6152" max="6152" width="12.5703125" style="886" customWidth="1"/>
    <col min="6153" max="6153" width="14.7109375" style="886" customWidth="1"/>
    <col min="6154" max="6154" width="31" style="886" customWidth="1"/>
    <col min="6155" max="6156" width="11" style="886" customWidth="1"/>
    <col min="6157" max="6401" width="9.140625" style="886"/>
    <col min="6402" max="6402" width="12.28515625" style="886" customWidth="1"/>
    <col min="6403" max="6403" width="6.7109375" style="886" customWidth="1"/>
    <col min="6404" max="6404" width="45.5703125" style="886" customWidth="1"/>
    <col min="6405" max="6406" width="11.7109375" style="886" customWidth="1"/>
    <col min="6407" max="6407" width="11" style="886" customWidth="1"/>
    <col min="6408" max="6408" width="12.5703125" style="886" customWidth="1"/>
    <col min="6409" max="6409" width="14.7109375" style="886" customWidth="1"/>
    <col min="6410" max="6410" width="31" style="886" customWidth="1"/>
    <col min="6411" max="6412" width="11" style="886" customWidth="1"/>
    <col min="6413" max="6657" width="9.140625" style="886"/>
    <col min="6658" max="6658" width="12.28515625" style="886" customWidth="1"/>
    <col min="6659" max="6659" width="6.7109375" style="886" customWidth="1"/>
    <col min="6660" max="6660" width="45.5703125" style="886" customWidth="1"/>
    <col min="6661" max="6662" width="11.7109375" style="886" customWidth="1"/>
    <col min="6663" max="6663" width="11" style="886" customWidth="1"/>
    <col min="6664" max="6664" width="12.5703125" style="886" customWidth="1"/>
    <col min="6665" max="6665" width="14.7109375" style="886" customWidth="1"/>
    <col min="6666" max="6666" width="31" style="886" customWidth="1"/>
    <col min="6667" max="6668" width="11" style="886" customWidth="1"/>
    <col min="6669" max="6913" width="9.140625" style="886"/>
    <col min="6914" max="6914" width="12.28515625" style="886" customWidth="1"/>
    <col min="6915" max="6915" width="6.7109375" style="886" customWidth="1"/>
    <col min="6916" max="6916" width="45.5703125" style="886" customWidth="1"/>
    <col min="6917" max="6918" width="11.7109375" style="886" customWidth="1"/>
    <col min="6919" max="6919" width="11" style="886" customWidth="1"/>
    <col min="6920" max="6920" width="12.5703125" style="886" customWidth="1"/>
    <col min="6921" max="6921" width="14.7109375" style="886" customWidth="1"/>
    <col min="6922" max="6922" width="31" style="886" customWidth="1"/>
    <col min="6923" max="6924" width="11" style="886" customWidth="1"/>
    <col min="6925" max="7169" width="9.140625" style="886"/>
    <col min="7170" max="7170" width="12.28515625" style="886" customWidth="1"/>
    <col min="7171" max="7171" width="6.7109375" style="886" customWidth="1"/>
    <col min="7172" max="7172" width="45.5703125" style="886" customWidth="1"/>
    <col min="7173" max="7174" width="11.7109375" style="886" customWidth="1"/>
    <col min="7175" max="7175" width="11" style="886" customWidth="1"/>
    <col min="7176" max="7176" width="12.5703125" style="886" customWidth="1"/>
    <col min="7177" max="7177" width="14.7109375" style="886" customWidth="1"/>
    <col min="7178" max="7178" width="31" style="886" customWidth="1"/>
    <col min="7179" max="7180" width="11" style="886" customWidth="1"/>
    <col min="7181" max="7425" width="9.140625" style="886"/>
    <col min="7426" max="7426" width="12.28515625" style="886" customWidth="1"/>
    <col min="7427" max="7427" width="6.7109375" style="886" customWidth="1"/>
    <col min="7428" max="7428" width="45.5703125" style="886" customWidth="1"/>
    <col min="7429" max="7430" width="11.7109375" style="886" customWidth="1"/>
    <col min="7431" max="7431" width="11" style="886" customWidth="1"/>
    <col min="7432" max="7432" width="12.5703125" style="886" customWidth="1"/>
    <col min="7433" max="7433" width="14.7109375" style="886" customWidth="1"/>
    <col min="7434" max="7434" width="31" style="886" customWidth="1"/>
    <col min="7435" max="7436" width="11" style="886" customWidth="1"/>
    <col min="7437" max="7681" width="9.140625" style="886"/>
    <col min="7682" max="7682" width="12.28515625" style="886" customWidth="1"/>
    <col min="7683" max="7683" width="6.7109375" style="886" customWidth="1"/>
    <col min="7684" max="7684" width="45.5703125" style="886" customWidth="1"/>
    <col min="7685" max="7686" width="11.7109375" style="886" customWidth="1"/>
    <col min="7687" max="7687" width="11" style="886" customWidth="1"/>
    <col min="7688" max="7688" width="12.5703125" style="886" customWidth="1"/>
    <col min="7689" max="7689" width="14.7109375" style="886" customWidth="1"/>
    <col min="7690" max="7690" width="31" style="886" customWidth="1"/>
    <col min="7691" max="7692" width="11" style="886" customWidth="1"/>
    <col min="7693" max="7937" width="9.140625" style="886"/>
    <col min="7938" max="7938" width="12.28515625" style="886" customWidth="1"/>
    <col min="7939" max="7939" width="6.7109375" style="886" customWidth="1"/>
    <col min="7940" max="7940" width="45.5703125" style="886" customWidth="1"/>
    <col min="7941" max="7942" width="11.7109375" style="886" customWidth="1"/>
    <col min="7943" max="7943" width="11" style="886" customWidth="1"/>
    <col min="7944" max="7944" width="12.5703125" style="886" customWidth="1"/>
    <col min="7945" max="7945" width="14.7109375" style="886" customWidth="1"/>
    <col min="7946" max="7946" width="31" style="886" customWidth="1"/>
    <col min="7947" max="7948" width="11" style="886" customWidth="1"/>
    <col min="7949" max="8193" width="9.140625" style="886"/>
    <col min="8194" max="8194" width="12.28515625" style="886" customWidth="1"/>
    <col min="8195" max="8195" width="6.7109375" style="886" customWidth="1"/>
    <col min="8196" max="8196" width="45.5703125" style="886" customWidth="1"/>
    <col min="8197" max="8198" width="11.7109375" style="886" customWidth="1"/>
    <col min="8199" max="8199" width="11" style="886" customWidth="1"/>
    <col min="8200" max="8200" width="12.5703125" style="886" customWidth="1"/>
    <col min="8201" max="8201" width="14.7109375" style="886" customWidth="1"/>
    <col min="8202" max="8202" width="31" style="886" customWidth="1"/>
    <col min="8203" max="8204" width="11" style="886" customWidth="1"/>
    <col min="8205" max="8449" width="9.140625" style="886"/>
    <col min="8450" max="8450" width="12.28515625" style="886" customWidth="1"/>
    <col min="8451" max="8451" width="6.7109375" style="886" customWidth="1"/>
    <col min="8452" max="8452" width="45.5703125" style="886" customWidth="1"/>
    <col min="8453" max="8454" width="11.7109375" style="886" customWidth="1"/>
    <col min="8455" max="8455" width="11" style="886" customWidth="1"/>
    <col min="8456" max="8456" width="12.5703125" style="886" customWidth="1"/>
    <col min="8457" max="8457" width="14.7109375" style="886" customWidth="1"/>
    <col min="8458" max="8458" width="31" style="886" customWidth="1"/>
    <col min="8459" max="8460" width="11" style="886" customWidth="1"/>
    <col min="8461" max="8705" width="9.140625" style="886"/>
    <col min="8706" max="8706" width="12.28515625" style="886" customWidth="1"/>
    <col min="8707" max="8707" width="6.7109375" style="886" customWidth="1"/>
    <col min="8708" max="8708" width="45.5703125" style="886" customWidth="1"/>
    <col min="8709" max="8710" width="11.7109375" style="886" customWidth="1"/>
    <col min="8711" max="8711" width="11" style="886" customWidth="1"/>
    <col min="8712" max="8712" width="12.5703125" style="886" customWidth="1"/>
    <col min="8713" max="8713" width="14.7109375" style="886" customWidth="1"/>
    <col min="8714" max="8714" width="31" style="886" customWidth="1"/>
    <col min="8715" max="8716" width="11" style="886" customWidth="1"/>
    <col min="8717" max="8961" width="9.140625" style="886"/>
    <col min="8962" max="8962" width="12.28515625" style="886" customWidth="1"/>
    <col min="8963" max="8963" width="6.7109375" style="886" customWidth="1"/>
    <col min="8964" max="8964" width="45.5703125" style="886" customWidth="1"/>
    <col min="8965" max="8966" width="11.7109375" style="886" customWidth="1"/>
    <col min="8967" max="8967" width="11" style="886" customWidth="1"/>
    <col min="8968" max="8968" width="12.5703125" style="886" customWidth="1"/>
    <col min="8969" max="8969" width="14.7109375" style="886" customWidth="1"/>
    <col min="8970" max="8970" width="31" style="886" customWidth="1"/>
    <col min="8971" max="8972" width="11" style="886" customWidth="1"/>
    <col min="8973" max="9217" width="9.140625" style="886"/>
    <col min="9218" max="9218" width="12.28515625" style="886" customWidth="1"/>
    <col min="9219" max="9219" width="6.7109375" style="886" customWidth="1"/>
    <col min="9220" max="9220" width="45.5703125" style="886" customWidth="1"/>
    <col min="9221" max="9222" width="11.7109375" style="886" customWidth="1"/>
    <col min="9223" max="9223" width="11" style="886" customWidth="1"/>
    <col min="9224" max="9224" width="12.5703125" style="886" customWidth="1"/>
    <col min="9225" max="9225" width="14.7109375" style="886" customWidth="1"/>
    <col min="9226" max="9226" width="31" style="886" customWidth="1"/>
    <col min="9227" max="9228" width="11" style="886" customWidth="1"/>
    <col min="9229" max="9473" width="9.140625" style="886"/>
    <col min="9474" max="9474" width="12.28515625" style="886" customWidth="1"/>
    <col min="9475" max="9475" width="6.7109375" style="886" customWidth="1"/>
    <col min="9476" max="9476" width="45.5703125" style="886" customWidth="1"/>
    <col min="9477" max="9478" width="11.7109375" style="886" customWidth="1"/>
    <col min="9479" max="9479" width="11" style="886" customWidth="1"/>
    <col min="9480" max="9480" width="12.5703125" style="886" customWidth="1"/>
    <col min="9481" max="9481" width="14.7109375" style="886" customWidth="1"/>
    <col min="9482" max="9482" width="31" style="886" customWidth="1"/>
    <col min="9483" max="9484" width="11" style="886" customWidth="1"/>
    <col min="9485" max="9729" width="9.140625" style="886"/>
    <col min="9730" max="9730" width="12.28515625" style="886" customWidth="1"/>
    <col min="9731" max="9731" width="6.7109375" style="886" customWidth="1"/>
    <col min="9732" max="9732" width="45.5703125" style="886" customWidth="1"/>
    <col min="9733" max="9734" width="11.7109375" style="886" customWidth="1"/>
    <col min="9735" max="9735" width="11" style="886" customWidth="1"/>
    <col min="9736" max="9736" width="12.5703125" style="886" customWidth="1"/>
    <col min="9737" max="9737" width="14.7109375" style="886" customWidth="1"/>
    <col min="9738" max="9738" width="31" style="886" customWidth="1"/>
    <col min="9739" max="9740" width="11" style="886" customWidth="1"/>
    <col min="9741" max="9985" width="9.140625" style="886"/>
    <col min="9986" max="9986" width="12.28515625" style="886" customWidth="1"/>
    <col min="9987" max="9987" width="6.7109375" style="886" customWidth="1"/>
    <col min="9988" max="9988" width="45.5703125" style="886" customWidth="1"/>
    <col min="9989" max="9990" width="11.7109375" style="886" customWidth="1"/>
    <col min="9991" max="9991" width="11" style="886" customWidth="1"/>
    <col min="9992" max="9992" width="12.5703125" style="886" customWidth="1"/>
    <col min="9993" max="9993" width="14.7109375" style="886" customWidth="1"/>
    <col min="9994" max="9994" width="31" style="886" customWidth="1"/>
    <col min="9995" max="9996" width="11" style="886" customWidth="1"/>
    <col min="9997" max="10241" width="9.140625" style="886"/>
    <col min="10242" max="10242" width="12.28515625" style="886" customWidth="1"/>
    <col min="10243" max="10243" width="6.7109375" style="886" customWidth="1"/>
    <col min="10244" max="10244" width="45.5703125" style="886" customWidth="1"/>
    <col min="10245" max="10246" width="11.7109375" style="886" customWidth="1"/>
    <col min="10247" max="10247" width="11" style="886" customWidth="1"/>
    <col min="10248" max="10248" width="12.5703125" style="886" customWidth="1"/>
    <col min="10249" max="10249" width="14.7109375" style="886" customWidth="1"/>
    <col min="10250" max="10250" width="31" style="886" customWidth="1"/>
    <col min="10251" max="10252" width="11" style="886" customWidth="1"/>
    <col min="10253" max="10497" width="9.140625" style="886"/>
    <col min="10498" max="10498" width="12.28515625" style="886" customWidth="1"/>
    <col min="10499" max="10499" width="6.7109375" style="886" customWidth="1"/>
    <col min="10500" max="10500" width="45.5703125" style="886" customWidth="1"/>
    <col min="10501" max="10502" width="11.7109375" style="886" customWidth="1"/>
    <col min="10503" max="10503" width="11" style="886" customWidth="1"/>
    <col min="10504" max="10504" width="12.5703125" style="886" customWidth="1"/>
    <col min="10505" max="10505" width="14.7109375" style="886" customWidth="1"/>
    <col min="10506" max="10506" width="31" style="886" customWidth="1"/>
    <col min="10507" max="10508" width="11" style="886" customWidth="1"/>
    <col min="10509" max="10753" width="9.140625" style="886"/>
    <col min="10754" max="10754" width="12.28515625" style="886" customWidth="1"/>
    <col min="10755" max="10755" width="6.7109375" style="886" customWidth="1"/>
    <col min="10756" max="10756" width="45.5703125" style="886" customWidth="1"/>
    <col min="10757" max="10758" width="11.7109375" style="886" customWidth="1"/>
    <col min="10759" max="10759" width="11" style="886" customWidth="1"/>
    <col min="10760" max="10760" width="12.5703125" style="886" customWidth="1"/>
    <col min="10761" max="10761" width="14.7109375" style="886" customWidth="1"/>
    <col min="10762" max="10762" width="31" style="886" customWidth="1"/>
    <col min="10763" max="10764" width="11" style="886" customWidth="1"/>
    <col min="10765" max="11009" width="9.140625" style="886"/>
    <col min="11010" max="11010" width="12.28515625" style="886" customWidth="1"/>
    <col min="11011" max="11011" width="6.7109375" style="886" customWidth="1"/>
    <col min="11012" max="11012" width="45.5703125" style="886" customWidth="1"/>
    <col min="11013" max="11014" width="11.7109375" style="886" customWidth="1"/>
    <col min="11015" max="11015" width="11" style="886" customWidth="1"/>
    <col min="11016" max="11016" width="12.5703125" style="886" customWidth="1"/>
    <col min="11017" max="11017" width="14.7109375" style="886" customWidth="1"/>
    <col min="11018" max="11018" width="31" style="886" customWidth="1"/>
    <col min="11019" max="11020" width="11" style="886" customWidth="1"/>
    <col min="11021" max="11265" width="9.140625" style="886"/>
    <col min="11266" max="11266" width="12.28515625" style="886" customWidth="1"/>
    <col min="11267" max="11267" width="6.7109375" style="886" customWidth="1"/>
    <col min="11268" max="11268" width="45.5703125" style="886" customWidth="1"/>
    <col min="11269" max="11270" width="11.7109375" style="886" customWidth="1"/>
    <col min="11271" max="11271" width="11" style="886" customWidth="1"/>
    <col min="11272" max="11272" width="12.5703125" style="886" customWidth="1"/>
    <col min="11273" max="11273" width="14.7109375" style="886" customWidth="1"/>
    <col min="11274" max="11274" width="31" style="886" customWidth="1"/>
    <col min="11275" max="11276" width="11" style="886" customWidth="1"/>
    <col min="11277" max="11521" width="9.140625" style="886"/>
    <col min="11522" max="11522" width="12.28515625" style="886" customWidth="1"/>
    <col min="11523" max="11523" width="6.7109375" style="886" customWidth="1"/>
    <col min="11524" max="11524" width="45.5703125" style="886" customWidth="1"/>
    <col min="11525" max="11526" width="11.7109375" style="886" customWidth="1"/>
    <col min="11527" max="11527" width="11" style="886" customWidth="1"/>
    <col min="11528" max="11528" width="12.5703125" style="886" customWidth="1"/>
    <col min="11529" max="11529" width="14.7109375" style="886" customWidth="1"/>
    <col min="11530" max="11530" width="31" style="886" customWidth="1"/>
    <col min="11531" max="11532" width="11" style="886" customWidth="1"/>
    <col min="11533" max="11777" width="9.140625" style="886"/>
    <col min="11778" max="11778" width="12.28515625" style="886" customWidth="1"/>
    <col min="11779" max="11779" width="6.7109375" style="886" customWidth="1"/>
    <col min="11780" max="11780" width="45.5703125" style="886" customWidth="1"/>
    <col min="11781" max="11782" width="11.7109375" style="886" customWidth="1"/>
    <col min="11783" max="11783" width="11" style="886" customWidth="1"/>
    <col min="11784" max="11784" width="12.5703125" style="886" customWidth="1"/>
    <col min="11785" max="11785" width="14.7109375" style="886" customWidth="1"/>
    <col min="11786" max="11786" width="31" style="886" customWidth="1"/>
    <col min="11787" max="11788" width="11" style="886" customWidth="1"/>
    <col min="11789" max="12033" width="9.140625" style="886"/>
    <col min="12034" max="12034" width="12.28515625" style="886" customWidth="1"/>
    <col min="12035" max="12035" width="6.7109375" style="886" customWidth="1"/>
    <col min="12036" max="12036" width="45.5703125" style="886" customWidth="1"/>
    <col min="12037" max="12038" width="11.7109375" style="886" customWidth="1"/>
    <col min="12039" max="12039" width="11" style="886" customWidth="1"/>
    <col min="12040" max="12040" width="12.5703125" style="886" customWidth="1"/>
    <col min="12041" max="12041" width="14.7109375" style="886" customWidth="1"/>
    <col min="12042" max="12042" width="31" style="886" customWidth="1"/>
    <col min="12043" max="12044" width="11" style="886" customWidth="1"/>
    <col min="12045" max="12289" width="9.140625" style="886"/>
    <col min="12290" max="12290" width="12.28515625" style="886" customWidth="1"/>
    <col min="12291" max="12291" width="6.7109375" style="886" customWidth="1"/>
    <col min="12292" max="12292" width="45.5703125" style="886" customWidth="1"/>
    <col min="12293" max="12294" width="11.7109375" style="886" customWidth="1"/>
    <col min="12295" max="12295" width="11" style="886" customWidth="1"/>
    <col min="12296" max="12296" width="12.5703125" style="886" customWidth="1"/>
    <col min="12297" max="12297" width="14.7109375" style="886" customWidth="1"/>
    <col min="12298" max="12298" width="31" style="886" customWidth="1"/>
    <col min="12299" max="12300" width="11" style="886" customWidth="1"/>
    <col min="12301" max="12545" width="9.140625" style="886"/>
    <col min="12546" max="12546" width="12.28515625" style="886" customWidth="1"/>
    <col min="12547" max="12547" width="6.7109375" style="886" customWidth="1"/>
    <col min="12548" max="12548" width="45.5703125" style="886" customWidth="1"/>
    <col min="12549" max="12550" width="11.7109375" style="886" customWidth="1"/>
    <col min="12551" max="12551" width="11" style="886" customWidth="1"/>
    <col min="12552" max="12552" width="12.5703125" style="886" customWidth="1"/>
    <col min="12553" max="12553" width="14.7109375" style="886" customWidth="1"/>
    <col min="12554" max="12554" width="31" style="886" customWidth="1"/>
    <col min="12555" max="12556" width="11" style="886" customWidth="1"/>
    <col min="12557" max="12801" width="9.140625" style="886"/>
    <col min="12802" max="12802" width="12.28515625" style="886" customWidth="1"/>
    <col min="12803" max="12803" width="6.7109375" style="886" customWidth="1"/>
    <col min="12804" max="12804" width="45.5703125" style="886" customWidth="1"/>
    <col min="12805" max="12806" width="11.7109375" style="886" customWidth="1"/>
    <col min="12807" max="12807" width="11" style="886" customWidth="1"/>
    <col min="12808" max="12808" width="12.5703125" style="886" customWidth="1"/>
    <col min="12809" max="12809" width="14.7109375" style="886" customWidth="1"/>
    <col min="12810" max="12810" width="31" style="886" customWidth="1"/>
    <col min="12811" max="12812" width="11" style="886" customWidth="1"/>
    <col min="12813" max="13057" width="9.140625" style="886"/>
    <col min="13058" max="13058" width="12.28515625" style="886" customWidth="1"/>
    <col min="13059" max="13059" width="6.7109375" style="886" customWidth="1"/>
    <col min="13060" max="13060" width="45.5703125" style="886" customWidth="1"/>
    <col min="13061" max="13062" width="11.7109375" style="886" customWidth="1"/>
    <col min="13063" max="13063" width="11" style="886" customWidth="1"/>
    <col min="13064" max="13064" width="12.5703125" style="886" customWidth="1"/>
    <col min="13065" max="13065" width="14.7109375" style="886" customWidth="1"/>
    <col min="13066" max="13066" width="31" style="886" customWidth="1"/>
    <col min="13067" max="13068" width="11" style="886" customWidth="1"/>
    <col min="13069" max="13313" width="9.140625" style="886"/>
    <col min="13314" max="13314" width="12.28515625" style="886" customWidth="1"/>
    <col min="13315" max="13315" width="6.7109375" style="886" customWidth="1"/>
    <col min="13316" max="13316" width="45.5703125" style="886" customWidth="1"/>
    <col min="13317" max="13318" width="11.7109375" style="886" customWidth="1"/>
    <col min="13319" max="13319" width="11" style="886" customWidth="1"/>
    <col min="13320" max="13320" width="12.5703125" style="886" customWidth="1"/>
    <col min="13321" max="13321" width="14.7109375" style="886" customWidth="1"/>
    <col min="13322" max="13322" width="31" style="886" customWidth="1"/>
    <col min="13323" max="13324" width="11" style="886" customWidth="1"/>
    <col min="13325" max="13569" width="9.140625" style="886"/>
    <col min="13570" max="13570" width="12.28515625" style="886" customWidth="1"/>
    <col min="13571" max="13571" width="6.7109375" style="886" customWidth="1"/>
    <col min="13572" max="13572" width="45.5703125" style="886" customWidth="1"/>
    <col min="13573" max="13574" width="11.7109375" style="886" customWidth="1"/>
    <col min="13575" max="13575" width="11" style="886" customWidth="1"/>
    <col min="13576" max="13576" width="12.5703125" style="886" customWidth="1"/>
    <col min="13577" max="13577" width="14.7109375" style="886" customWidth="1"/>
    <col min="13578" max="13578" width="31" style="886" customWidth="1"/>
    <col min="13579" max="13580" width="11" style="886" customWidth="1"/>
    <col min="13581" max="13825" width="9.140625" style="886"/>
    <col min="13826" max="13826" width="12.28515625" style="886" customWidth="1"/>
    <col min="13827" max="13827" width="6.7109375" style="886" customWidth="1"/>
    <col min="13828" max="13828" width="45.5703125" style="886" customWidth="1"/>
    <col min="13829" max="13830" width="11.7109375" style="886" customWidth="1"/>
    <col min="13831" max="13831" width="11" style="886" customWidth="1"/>
    <col min="13832" max="13832" width="12.5703125" style="886" customWidth="1"/>
    <col min="13833" max="13833" width="14.7109375" style="886" customWidth="1"/>
    <col min="13834" max="13834" width="31" style="886" customWidth="1"/>
    <col min="13835" max="13836" width="11" style="886" customWidth="1"/>
    <col min="13837" max="14081" width="9.140625" style="886"/>
    <col min="14082" max="14082" width="12.28515625" style="886" customWidth="1"/>
    <col min="14083" max="14083" width="6.7109375" style="886" customWidth="1"/>
    <col min="14084" max="14084" width="45.5703125" style="886" customWidth="1"/>
    <col min="14085" max="14086" width="11.7109375" style="886" customWidth="1"/>
    <col min="14087" max="14087" width="11" style="886" customWidth="1"/>
    <col min="14088" max="14088" width="12.5703125" style="886" customWidth="1"/>
    <col min="14089" max="14089" width="14.7109375" style="886" customWidth="1"/>
    <col min="14090" max="14090" width="31" style="886" customWidth="1"/>
    <col min="14091" max="14092" width="11" style="886" customWidth="1"/>
    <col min="14093" max="14337" width="9.140625" style="886"/>
    <col min="14338" max="14338" width="12.28515625" style="886" customWidth="1"/>
    <col min="14339" max="14339" width="6.7109375" style="886" customWidth="1"/>
    <col min="14340" max="14340" width="45.5703125" style="886" customWidth="1"/>
    <col min="14341" max="14342" width="11.7109375" style="886" customWidth="1"/>
    <col min="14343" max="14343" width="11" style="886" customWidth="1"/>
    <col min="14344" max="14344" width="12.5703125" style="886" customWidth="1"/>
    <col min="14345" max="14345" width="14.7109375" style="886" customWidth="1"/>
    <col min="14346" max="14346" width="31" style="886" customWidth="1"/>
    <col min="14347" max="14348" width="11" style="886" customWidth="1"/>
    <col min="14349" max="14593" width="9.140625" style="886"/>
    <col min="14594" max="14594" width="12.28515625" style="886" customWidth="1"/>
    <col min="14595" max="14595" width="6.7109375" style="886" customWidth="1"/>
    <col min="14596" max="14596" width="45.5703125" style="886" customWidth="1"/>
    <col min="14597" max="14598" width="11.7109375" style="886" customWidth="1"/>
    <col min="14599" max="14599" width="11" style="886" customWidth="1"/>
    <col min="14600" max="14600" width="12.5703125" style="886" customWidth="1"/>
    <col min="14601" max="14601" width="14.7109375" style="886" customWidth="1"/>
    <col min="14602" max="14602" width="31" style="886" customWidth="1"/>
    <col min="14603" max="14604" width="11" style="886" customWidth="1"/>
    <col min="14605" max="14849" width="9.140625" style="886"/>
    <col min="14850" max="14850" width="12.28515625" style="886" customWidth="1"/>
    <col min="14851" max="14851" width="6.7109375" style="886" customWidth="1"/>
    <col min="14852" max="14852" width="45.5703125" style="886" customWidth="1"/>
    <col min="14853" max="14854" width="11.7109375" style="886" customWidth="1"/>
    <col min="14855" max="14855" width="11" style="886" customWidth="1"/>
    <col min="14856" max="14856" width="12.5703125" style="886" customWidth="1"/>
    <col min="14857" max="14857" width="14.7109375" style="886" customWidth="1"/>
    <col min="14858" max="14858" width="31" style="886" customWidth="1"/>
    <col min="14859" max="14860" width="11" style="886" customWidth="1"/>
    <col min="14861" max="15105" width="9.140625" style="886"/>
    <col min="15106" max="15106" width="12.28515625" style="886" customWidth="1"/>
    <col min="15107" max="15107" width="6.7109375" style="886" customWidth="1"/>
    <col min="15108" max="15108" width="45.5703125" style="886" customWidth="1"/>
    <col min="15109" max="15110" width="11.7109375" style="886" customWidth="1"/>
    <col min="15111" max="15111" width="11" style="886" customWidth="1"/>
    <col min="15112" max="15112" width="12.5703125" style="886" customWidth="1"/>
    <col min="15113" max="15113" width="14.7109375" style="886" customWidth="1"/>
    <col min="15114" max="15114" width="31" style="886" customWidth="1"/>
    <col min="15115" max="15116" width="11" style="886" customWidth="1"/>
    <col min="15117" max="15361" width="9.140625" style="886"/>
    <col min="15362" max="15362" width="12.28515625" style="886" customWidth="1"/>
    <col min="15363" max="15363" width="6.7109375" style="886" customWidth="1"/>
    <col min="15364" max="15364" width="45.5703125" style="886" customWidth="1"/>
    <col min="15365" max="15366" width="11.7109375" style="886" customWidth="1"/>
    <col min="15367" max="15367" width="11" style="886" customWidth="1"/>
    <col min="15368" max="15368" width="12.5703125" style="886" customWidth="1"/>
    <col min="15369" max="15369" width="14.7109375" style="886" customWidth="1"/>
    <col min="15370" max="15370" width="31" style="886" customWidth="1"/>
    <col min="15371" max="15372" width="11" style="886" customWidth="1"/>
    <col min="15373" max="15617" width="9.140625" style="886"/>
    <col min="15618" max="15618" width="12.28515625" style="886" customWidth="1"/>
    <col min="15619" max="15619" width="6.7109375" style="886" customWidth="1"/>
    <col min="15620" max="15620" width="45.5703125" style="886" customWidth="1"/>
    <col min="15621" max="15622" width="11.7109375" style="886" customWidth="1"/>
    <col min="15623" max="15623" width="11" style="886" customWidth="1"/>
    <col min="15624" max="15624" width="12.5703125" style="886" customWidth="1"/>
    <col min="15625" max="15625" width="14.7109375" style="886" customWidth="1"/>
    <col min="15626" max="15626" width="31" style="886" customWidth="1"/>
    <col min="15627" max="15628" width="11" style="886" customWidth="1"/>
    <col min="15629" max="15873" width="9.140625" style="886"/>
    <col min="15874" max="15874" width="12.28515625" style="886" customWidth="1"/>
    <col min="15875" max="15875" width="6.7109375" style="886" customWidth="1"/>
    <col min="15876" max="15876" width="45.5703125" style="886" customWidth="1"/>
    <col min="15877" max="15878" width="11.7109375" style="886" customWidth="1"/>
    <col min="15879" max="15879" width="11" style="886" customWidth="1"/>
    <col min="15880" max="15880" width="12.5703125" style="886" customWidth="1"/>
    <col min="15881" max="15881" width="14.7109375" style="886" customWidth="1"/>
    <col min="15882" max="15882" width="31" style="886" customWidth="1"/>
    <col min="15883" max="15884" width="11" style="886" customWidth="1"/>
    <col min="15885" max="16129" width="9.140625" style="886"/>
    <col min="16130" max="16130" width="12.28515625" style="886" customWidth="1"/>
    <col min="16131" max="16131" width="6.7109375" style="886" customWidth="1"/>
    <col min="16132" max="16132" width="45.5703125" style="886" customWidth="1"/>
    <col min="16133" max="16134" width="11.7109375" style="886" customWidth="1"/>
    <col min="16135" max="16135" width="11" style="886" customWidth="1"/>
    <col min="16136" max="16136" width="12.5703125" style="886" customWidth="1"/>
    <col min="16137" max="16137" width="14.7109375" style="886" customWidth="1"/>
    <col min="16138" max="16138" width="31" style="886" customWidth="1"/>
    <col min="16139" max="16140" width="11" style="886" customWidth="1"/>
    <col min="16141" max="16384" width="9.140625" style="886"/>
  </cols>
  <sheetData>
    <row r="1" spans="1:12" ht="21.75" customHeight="1">
      <c r="A1" s="881"/>
      <c r="B1" s="881"/>
      <c r="J1" s="885" t="s">
        <v>120</v>
      </c>
    </row>
    <row r="2" spans="1:12" s="881" customFormat="1" ht="25.5" customHeight="1" thickBot="1">
      <c r="A2" s="2017" t="s">
        <v>318</v>
      </c>
      <c r="B2" s="2017"/>
      <c r="C2" s="2017"/>
      <c r="D2" s="2017"/>
      <c r="E2" s="2017"/>
      <c r="F2" s="2017"/>
      <c r="G2" s="2017"/>
      <c r="H2" s="2017"/>
      <c r="I2" s="887"/>
      <c r="J2" s="885" t="s">
        <v>121</v>
      </c>
      <c r="K2" s="888"/>
      <c r="L2" s="888"/>
    </row>
    <row r="3" spans="1:12" s="893" customFormat="1" ht="16.5">
      <c r="A3" s="889" t="s">
        <v>10</v>
      </c>
      <c r="B3" s="890" t="s">
        <v>13</v>
      </c>
      <c r="C3" s="891"/>
      <c r="D3" s="2018"/>
      <c r="E3" s="2018"/>
      <c r="F3" s="2018"/>
      <c r="G3" s="2018"/>
      <c r="H3" s="2018"/>
      <c r="I3" s="2018"/>
      <c r="J3" s="892"/>
    </row>
    <row r="4" spans="1:12" s="893" customFormat="1" ht="16.5">
      <c r="A4" s="894" t="s">
        <v>122</v>
      </c>
      <c r="B4" s="890" t="s">
        <v>14</v>
      </c>
      <c r="C4" s="891"/>
      <c r="D4" s="1596"/>
      <c r="E4" s="1596"/>
      <c r="F4" s="1596"/>
      <c r="G4" s="1596"/>
      <c r="H4" s="1596"/>
      <c r="I4" s="1596"/>
      <c r="J4" s="892"/>
      <c r="K4" s="1596"/>
      <c r="L4" s="1596"/>
    </row>
    <row r="5" spans="1:12" s="881" customFormat="1" ht="16.5">
      <c r="A5" s="894" t="s">
        <v>123</v>
      </c>
      <c r="B5" s="890" t="s">
        <v>15</v>
      </c>
      <c r="C5" s="895"/>
      <c r="D5" s="896"/>
      <c r="E5" s="887"/>
      <c r="F5" s="887"/>
      <c r="G5" s="887"/>
      <c r="H5" s="887"/>
      <c r="I5" s="887"/>
      <c r="J5" s="887"/>
      <c r="K5" s="887"/>
      <c r="L5" s="887"/>
    </row>
    <row r="6" spans="1:12" s="882" customFormat="1">
      <c r="A6" s="2019"/>
      <c r="B6" s="2019"/>
      <c r="C6" s="897"/>
      <c r="D6" s="898"/>
      <c r="E6" s="899"/>
      <c r="F6" s="899"/>
      <c r="H6" s="900" t="s">
        <v>124</v>
      </c>
      <c r="I6" s="901"/>
    </row>
    <row r="7" spans="1:12" s="882" customFormat="1" ht="13.5" customHeight="1">
      <c r="A7" s="2020" t="s">
        <v>125</v>
      </c>
      <c r="B7" s="2020"/>
      <c r="C7" s="2021"/>
      <c r="D7" s="2022"/>
      <c r="E7" s="902" t="s">
        <v>0</v>
      </c>
      <c r="F7" s="902" t="s">
        <v>1</v>
      </c>
      <c r="G7" s="903" t="s">
        <v>2</v>
      </c>
      <c r="H7" s="904"/>
      <c r="I7" s="904"/>
      <c r="J7" s="905"/>
      <c r="K7" s="903" t="s">
        <v>3</v>
      </c>
      <c r="L7" s="903" t="s">
        <v>207</v>
      </c>
    </row>
    <row r="8" spans="1:12" s="882" customFormat="1" ht="63.75">
      <c r="A8" s="906" t="s">
        <v>127</v>
      </c>
      <c r="B8" s="906" t="s">
        <v>128</v>
      </c>
      <c r="C8" s="95" t="s">
        <v>129</v>
      </c>
      <c r="D8" s="95" t="s">
        <v>130</v>
      </c>
      <c r="E8" s="905" t="s">
        <v>131</v>
      </c>
      <c r="F8" s="907" t="s">
        <v>132</v>
      </c>
      <c r="G8" s="905" t="s">
        <v>133</v>
      </c>
      <c r="H8" s="905" t="s">
        <v>319</v>
      </c>
      <c r="I8" s="905" t="s">
        <v>320</v>
      </c>
      <c r="J8" s="905" t="s">
        <v>134</v>
      </c>
      <c r="K8" s="905" t="s">
        <v>133</v>
      </c>
      <c r="L8" s="905" t="s">
        <v>133</v>
      </c>
    </row>
    <row r="9" spans="1:12" s="910" customFormat="1">
      <c r="A9" s="908">
        <v>1</v>
      </c>
      <c r="B9" s="908">
        <v>2</v>
      </c>
      <c r="C9" s="909">
        <v>3</v>
      </c>
      <c r="D9" s="909">
        <v>4</v>
      </c>
      <c r="E9" s="909">
        <v>5</v>
      </c>
      <c r="F9" s="909">
        <v>6</v>
      </c>
      <c r="G9" s="909">
        <v>7</v>
      </c>
      <c r="H9" s="909">
        <v>8</v>
      </c>
      <c r="I9" s="909">
        <v>9</v>
      </c>
      <c r="J9" s="909">
        <v>10</v>
      </c>
      <c r="K9" s="909">
        <v>7</v>
      </c>
      <c r="L9" s="909">
        <v>7</v>
      </c>
    </row>
    <row r="10" spans="1:12" s="914" customFormat="1" ht="14.25" customHeight="1">
      <c r="A10" s="2023"/>
      <c r="B10" s="2025"/>
      <c r="C10" s="911"/>
      <c r="D10" s="912" t="s">
        <v>136</v>
      </c>
      <c r="E10" s="913">
        <v>228</v>
      </c>
      <c r="F10" s="913">
        <v>228</v>
      </c>
      <c r="G10" s="913">
        <v>228</v>
      </c>
      <c r="H10" s="913">
        <f>+G10-F10</f>
        <v>0</v>
      </c>
      <c r="I10" s="913">
        <f t="shared" ref="I10:I73" si="0">G10-E10</f>
        <v>0</v>
      </c>
      <c r="J10" s="913"/>
      <c r="K10" s="913">
        <v>228</v>
      </c>
      <c r="L10" s="913">
        <v>228</v>
      </c>
    </row>
    <row r="11" spans="1:12" s="914" customFormat="1" ht="13.5" customHeight="1">
      <c r="A11" s="2024"/>
      <c r="B11" s="2026"/>
      <c r="C11" s="915"/>
      <c r="D11" s="916"/>
      <c r="E11" s="917"/>
      <c r="F11" s="917"/>
      <c r="G11" s="917"/>
      <c r="H11" s="917">
        <f t="shared" ref="H11:H74" si="1">+G11-F11</f>
        <v>0</v>
      </c>
      <c r="I11" s="917">
        <f t="shared" si="0"/>
        <v>0</v>
      </c>
      <c r="J11" s="917"/>
      <c r="K11" s="917"/>
      <c r="L11" s="917"/>
    </row>
    <row r="12" spans="1:12" s="914" customFormat="1" ht="47.25" customHeight="1">
      <c r="A12" s="2024"/>
      <c r="B12" s="2026"/>
      <c r="C12" s="915"/>
      <c r="D12" s="912" t="s">
        <v>137</v>
      </c>
      <c r="E12" s="917">
        <v>22</v>
      </c>
      <c r="F12" s="917">
        <v>22</v>
      </c>
      <c r="G12" s="917">
        <v>6</v>
      </c>
      <c r="H12" s="917">
        <f t="shared" si="1"/>
        <v>-16</v>
      </c>
      <c r="I12" s="917">
        <f t="shared" si="0"/>
        <v>-16</v>
      </c>
      <c r="J12" s="918" t="s">
        <v>201</v>
      </c>
      <c r="K12" s="917">
        <v>6</v>
      </c>
      <c r="L12" s="917">
        <v>6</v>
      </c>
    </row>
    <row r="13" spans="1:12" s="919" customFormat="1" ht="14.25" customHeight="1">
      <c r="A13" s="2024"/>
      <c r="B13" s="2026"/>
      <c r="C13" s="915"/>
      <c r="D13" s="916"/>
      <c r="E13" s="917"/>
      <c r="F13" s="917"/>
      <c r="G13" s="917"/>
      <c r="H13" s="917">
        <f t="shared" si="1"/>
        <v>0</v>
      </c>
      <c r="I13" s="917">
        <f t="shared" si="0"/>
        <v>0</v>
      </c>
      <c r="J13" s="917"/>
      <c r="K13" s="917"/>
      <c r="L13" s="917"/>
    </row>
    <row r="14" spans="1:12" s="910" customFormat="1" ht="14.25" customHeight="1">
      <c r="A14" s="2024"/>
      <c r="B14" s="2026"/>
      <c r="C14" s="107"/>
      <c r="D14" s="920" t="s">
        <v>138</v>
      </c>
      <c r="E14" s="921">
        <f>+E16+E82</f>
        <v>1081340.6400000001</v>
      </c>
      <c r="F14" s="921">
        <f>+F16+F82</f>
        <v>1069011.7994775274</v>
      </c>
      <c r="G14" s="921">
        <f>+G16+G82</f>
        <v>1096351.3110768911</v>
      </c>
      <c r="H14" s="921">
        <f t="shared" si="1"/>
        <v>27339.511599363759</v>
      </c>
      <c r="I14" s="921">
        <f t="shared" si="0"/>
        <v>15010.671076891012</v>
      </c>
      <c r="J14" s="921"/>
      <c r="K14" s="921">
        <f>+K16+K82</f>
        <v>1106254.9310330264</v>
      </c>
      <c r="L14" s="921">
        <f>+L16+L82</f>
        <v>1114852.2308386466</v>
      </c>
    </row>
    <row r="15" spans="1:12" s="910" customFormat="1" ht="14.25" customHeight="1">
      <c r="A15" s="2024"/>
      <c r="B15" s="2026"/>
      <c r="C15" s="110"/>
      <c r="D15" s="922" t="s">
        <v>139</v>
      </c>
      <c r="E15" s="917"/>
      <c r="F15" s="917"/>
      <c r="G15" s="917"/>
      <c r="H15" s="921"/>
      <c r="I15" s="921"/>
      <c r="J15" s="917"/>
      <c r="K15" s="917"/>
      <c r="L15" s="917"/>
    </row>
    <row r="16" spans="1:12" s="910" customFormat="1" ht="14.25" customHeight="1">
      <c r="A16" s="2024"/>
      <c r="B16" s="2026"/>
      <c r="C16" s="923"/>
      <c r="D16" s="924" t="s">
        <v>140</v>
      </c>
      <c r="E16" s="921">
        <f>E18+SUM(E24:E80)-E24-E29-E37-E51-E55-E73</f>
        <v>1067642.3400000001</v>
      </c>
      <c r="F16" s="921">
        <f>F18+SUM(F24:F80)-F24-F29-F37-F51-F55-F73</f>
        <v>1053075.5994775274</v>
      </c>
      <c r="G16" s="921">
        <f>G18+SUM(G24:G80)-G24-G29-G37-G51-G55-G73</f>
        <v>1080412.7118768911</v>
      </c>
      <c r="H16" s="921">
        <f>+G16-F16</f>
        <v>27337.112399363657</v>
      </c>
      <c r="I16" s="921">
        <f>G16-E16</f>
        <v>12770.371876891004</v>
      </c>
      <c r="J16" s="921"/>
      <c r="K16" s="921">
        <f>K18+SUM(K24:K80)-K24-K29-K37-K51-K55-K73</f>
        <v>1090316.3318330264</v>
      </c>
      <c r="L16" s="921">
        <f>L18+SUM(L24:L80)-L24-L29-L37-L51-L55-L73</f>
        <v>1098913.6316386466</v>
      </c>
    </row>
    <row r="17" spans="1:12" s="910" customFormat="1" ht="13.5" customHeight="1">
      <c r="A17" s="2024"/>
      <c r="B17" s="2026"/>
      <c r="C17" s="911"/>
      <c r="D17" s="916" t="s">
        <v>141</v>
      </c>
      <c r="E17" s="913"/>
      <c r="F17" s="913"/>
      <c r="G17" s="917"/>
      <c r="H17" s="917">
        <f>+G17-F17</f>
        <v>0</v>
      </c>
      <c r="I17" s="917">
        <f>G17-E17</f>
        <v>0</v>
      </c>
      <c r="J17" s="913"/>
      <c r="K17" s="917"/>
      <c r="L17" s="917"/>
    </row>
    <row r="18" spans="1:12" s="910" customFormat="1" ht="14.25">
      <c r="A18" s="2024"/>
      <c r="B18" s="2026"/>
      <c r="C18" s="925"/>
      <c r="D18" s="926" t="s">
        <v>142</v>
      </c>
      <c r="E18" s="927">
        <f>SUM(E20:E23)</f>
        <v>1018380.47</v>
      </c>
      <c r="F18" s="927">
        <f>SUM(F20:F23)</f>
        <v>989027.4995735276</v>
      </c>
      <c r="G18" s="927">
        <f>SUM(G20:G23)</f>
        <v>1004505.6662928911</v>
      </c>
      <c r="H18" s="927">
        <f>+G18-F18</f>
        <v>15478.166719363537</v>
      </c>
      <c r="I18" s="927">
        <f>G18-E18</f>
        <v>-13874.803707108833</v>
      </c>
      <c r="J18" s="927"/>
      <c r="K18" s="927">
        <f>SUM(K20:K23)</f>
        <v>1017309.2862490267</v>
      </c>
      <c r="L18" s="927">
        <f>SUM(L20:L23)</f>
        <v>1025906.5860546468</v>
      </c>
    </row>
    <row r="19" spans="1:12" s="910" customFormat="1">
      <c r="A19" s="928"/>
      <c r="B19" s="929"/>
      <c r="C19" s="911"/>
      <c r="D19" s="916" t="s">
        <v>141</v>
      </c>
      <c r="E19" s="913"/>
      <c r="F19" s="913"/>
      <c r="G19" s="917"/>
      <c r="H19" s="917">
        <f t="shared" si="1"/>
        <v>0</v>
      </c>
      <c r="I19" s="913">
        <f t="shared" si="0"/>
        <v>0</v>
      </c>
      <c r="J19" s="913"/>
      <c r="K19" s="917"/>
      <c r="L19" s="917"/>
    </row>
    <row r="20" spans="1:12" s="910" customFormat="1" ht="183" customHeight="1">
      <c r="A20" s="928"/>
      <c r="B20" s="929"/>
      <c r="C20" s="930" t="s">
        <v>143</v>
      </c>
      <c r="D20" s="931" t="s">
        <v>144</v>
      </c>
      <c r="E20" s="913">
        <v>801522.37</v>
      </c>
      <c r="F20" s="913">
        <f>'[3]29աշխատավարձի ֆոնդ'!N20/1000</f>
        <v>769243.59957352758</v>
      </c>
      <c r="G20" s="913">
        <f>'[3]29աշխատավարձի ֆոնդ'!H20/1000</f>
        <v>778418.79972081014</v>
      </c>
      <c r="H20" s="913">
        <f t="shared" si="1"/>
        <v>9175.200147282565</v>
      </c>
      <c r="I20" s="913">
        <f t="shared" si="0"/>
        <v>-23103.570279189851</v>
      </c>
      <c r="J20" s="932" t="s">
        <v>321</v>
      </c>
      <c r="K20" s="913">
        <f>'[3]29աշխատավարձի ֆոնդ'!Z20/1000</f>
        <v>788229.99968093319</v>
      </c>
      <c r="L20" s="913">
        <f>'[3]29աշխատավարձի ֆոնդ'!AF20/1000</f>
        <v>794817.9995042244</v>
      </c>
    </row>
    <row r="21" spans="1:12" s="934" customFormat="1" ht="28.5">
      <c r="A21" s="928"/>
      <c r="B21" s="929"/>
      <c r="C21" s="930" t="s">
        <v>145</v>
      </c>
      <c r="D21" s="933" t="s">
        <v>146</v>
      </c>
      <c r="E21" s="913">
        <v>155419.29999999999</v>
      </c>
      <c r="F21" s="913">
        <v>157384.1</v>
      </c>
      <c r="G21" s="913">
        <v>159575.9</v>
      </c>
      <c r="H21" s="913">
        <f t="shared" si="1"/>
        <v>2191.7999999999884</v>
      </c>
      <c r="I21" s="913">
        <f t="shared" si="0"/>
        <v>4156.6000000000058</v>
      </c>
      <c r="J21" s="101"/>
      <c r="K21" s="913">
        <v>161587.20000000001</v>
      </c>
      <c r="L21" s="913">
        <v>162937.70000000001</v>
      </c>
    </row>
    <row r="22" spans="1:12" s="934" customFormat="1" ht="51">
      <c r="A22" s="928"/>
      <c r="B22" s="929"/>
      <c r="C22" s="930" t="s">
        <v>147</v>
      </c>
      <c r="D22" s="933" t="s">
        <v>148</v>
      </c>
      <c r="E22" s="913">
        <v>61438.8</v>
      </c>
      <c r="F22" s="913">
        <v>62399.8</v>
      </c>
      <c r="G22" s="913">
        <f>'[3]29աշխատավարձի ֆոնդ'!H14*0.1/1000</f>
        <v>66510.966572081015</v>
      </c>
      <c r="H22" s="913">
        <f t="shared" si="1"/>
        <v>4111.1665720810124</v>
      </c>
      <c r="I22" s="913">
        <f t="shared" si="0"/>
        <v>5072.1665720810124</v>
      </c>
      <c r="J22" s="932" t="s">
        <v>322</v>
      </c>
      <c r="K22" s="913">
        <f>'[3]29աշխատավարձի ֆոնդ'!Z14*0.1/1000</f>
        <v>67492.086568093335</v>
      </c>
      <c r="L22" s="913">
        <f>'[3]29աշխատավարձի ֆոնդ'!AF14*0.1/1000</f>
        <v>68150.886550422438</v>
      </c>
    </row>
    <row r="23" spans="1:12" s="934" customFormat="1" ht="28.5">
      <c r="A23" s="928"/>
      <c r="B23" s="929"/>
      <c r="C23" s="935" t="s">
        <v>323</v>
      </c>
      <c r="D23" s="933" t="s">
        <v>324</v>
      </c>
      <c r="E23" s="936">
        <v>0</v>
      </c>
      <c r="F23" s="936"/>
      <c r="G23" s="936"/>
      <c r="H23" s="936">
        <f t="shared" si="1"/>
        <v>0</v>
      </c>
      <c r="I23" s="936">
        <f t="shared" si="0"/>
        <v>0</v>
      </c>
      <c r="J23" s="936"/>
      <c r="K23" s="936"/>
      <c r="L23" s="936"/>
    </row>
    <row r="24" spans="1:12" s="934" customFormat="1" ht="14.25">
      <c r="A24" s="928"/>
      <c r="B24" s="929"/>
      <c r="C24" s="937">
        <v>4212</v>
      </c>
      <c r="D24" s="926" t="s">
        <v>149</v>
      </c>
      <c r="E24" s="927">
        <f>E26+E27+E28</f>
        <v>10505.96</v>
      </c>
      <c r="F24" s="927">
        <f>F26+F27+F28</f>
        <v>14202.1</v>
      </c>
      <c r="G24" s="927">
        <f>G26+G27+G28</f>
        <v>17001.03</v>
      </c>
      <c r="H24" s="927">
        <f t="shared" si="1"/>
        <v>2798.9299999999985</v>
      </c>
      <c r="I24" s="927">
        <f t="shared" si="0"/>
        <v>6495.07</v>
      </c>
      <c r="J24" s="927"/>
      <c r="K24" s="927">
        <f>K26+K27+K28</f>
        <v>17001.03</v>
      </c>
      <c r="L24" s="927">
        <f>L26+L27+L28</f>
        <v>17001.03</v>
      </c>
    </row>
    <row r="25" spans="1:12" s="934" customFormat="1" ht="15.75" customHeight="1">
      <c r="A25" s="928"/>
      <c r="B25" s="929"/>
      <c r="C25" s="930"/>
      <c r="D25" s="916" t="s">
        <v>141</v>
      </c>
      <c r="E25" s="938"/>
      <c r="F25" s="938"/>
      <c r="G25" s="938"/>
      <c r="H25" s="938">
        <f t="shared" si="1"/>
        <v>0</v>
      </c>
      <c r="I25" s="938">
        <f t="shared" si="0"/>
        <v>0</v>
      </c>
      <c r="J25" s="938"/>
      <c r="K25" s="938"/>
      <c r="L25" s="938"/>
    </row>
    <row r="26" spans="1:12" s="934" customFormat="1" ht="22.5" customHeight="1">
      <c r="A26" s="928"/>
      <c r="B26" s="929"/>
      <c r="C26" s="930"/>
      <c r="D26" s="916" t="s">
        <v>149</v>
      </c>
      <c r="E26" s="938">
        <v>10505.96</v>
      </c>
      <c r="F26" s="938">
        <f>'[3]3-Ծախսերի բացվածք'!E13</f>
        <v>14202.1</v>
      </c>
      <c r="G26" s="938">
        <f>'[3]3-Ծախսերի բացվածք'!G13</f>
        <v>17001.03</v>
      </c>
      <c r="H26" s="938">
        <f t="shared" si="1"/>
        <v>2798.9299999999985</v>
      </c>
      <c r="I26" s="938">
        <f t="shared" si="0"/>
        <v>6495.07</v>
      </c>
      <c r="J26" s="2014" t="s">
        <v>325</v>
      </c>
      <c r="K26" s="938">
        <v>17001.03</v>
      </c>
      <c r="L26" s="938">
        <v>17001.03</v>
      </c>
    </row>
    <row r="27" spans="1:12" s="934" customFormat="1" ht="22.5" customHeight="1">
      <c r="A27" s="928"/>
      <c r="B27" s="929"/>
      <c r="C27" s="930"/>
      <c r="D27" s="916" t="s">
        <v>150</v>
      </c>
      <c r="E27" s="938"/>
      <c r="F27" s="938"/>
      <c r="G27" s="938"/>
      <c r="H27" s="938">
        <f t="shared" si="1"/>
        <v>0</v>
      </c>
      <c r="I27" s="938">
        <f t="shared" si="0"/>
        <v>0</v>
      </c>
      <c r="J27" s="2015"/>
      <c r="K27" s="938"/>
      <c r="L27" s="938"/>
    </row>
    <row r="28" spans="1:12" s="934" customFormat="1" ht="45" customHeight="1">
      <c r="A28" s="928"/>
      <c r="B28" s="929"/>
      <c r="C28" s="930"/>
      <c r="D28" s="916" t="s">
        <v>151</v>
      </c>
      <c r="E28" s="938"/>
      <c r="F28" s="938"/>
      <c r="G28" s="938"/>
      <c r="H28" s="938">
        <f t="shared" si="1"/>
        <v>0</v>
      </c>
      <c r="I28" s="938">
        <f t="shared" si="0"/>
        <v>0</v>
      </c>
      <c r="J28" s="2016"/>
      <c r="K28" s="938"/>
      <c r="L28" s="938"/>
    </row>
    <row r="29" spans="1:12" s="934" customFormat="1" ht="14.25">
      <c r="A29" s="928"/>
      <c r="B29" s="929"/>
      <c r="C29" s="937">
        <v>4213</v>
      </c>
      <c r="D29" s="926" t="s">
        <v>152</v>
      </c>
      <c r="E29" s="927">
        <f>E31+E32</f>
        <v>1752.65</v>
      </c>
      <c r="F29" s="927">
        <f>F31+F32</f>
        <v>1769</v>
      </c>
      <c r="G29" s="927">
        <f>G31+G32</f>
        <v>1769</v>
      </c>
      <c r="H29" s="927">
        <f t="shared" si="1"/>
        <v>0</v>
      </c>
      <c r="I29" s="927">
        <f t="shared" si="0"/>
        <v>16.349999999999909</v>
      </c>
      <c r="J29" s="927"/>
      <c r="K29" s="927">
        <f>K31+K32</f>
        <v>1769</v>
      </c>
      <c r="L29" s="927">
        <f>L31+L32</f>
        <v>1769</v>
      </c>
    </row>
    <row r="30" spans="1:12" s="934" customFormat="1">
      <c r="A30" s="928"/>
      <c r="B30" s="929"/>
      <c r="C30" s="930"/>
      <c r="D30" s="916" t="s">
        <v>141</v>
      </c>
      <c r="E30" s="938"/>
      <c r="F30" s="938"/>
      <c r="G30" s="938"/>
      <c r="H30" s="938">
        <f t="shared" si="1"/>
        <v>0</v>
      </c>
      <c r="I30" s="938">
        <f t="shared" si="0"/>
        <v>0</v>
      </c>
      <c r="J30" s="938"/>
      <c r="K30" s="938"/>
      <c r="L30" s="938"/>
    </row>
    <row r="31" spans="1:12" s="934" customFormat="1" ht="27">
      <c r="A31" s="928"/>
      <c r="B31" s="929"/>
      <c r="C31" s="930"/>
      <c r="D31" s="939" t="s">
        <v>153</v>
      </c>
      <c r="E31" s="938">
        <v>32.15</v>
      </c>
      <c r="F31" s="938">
        <f>'[3]3-Ծախսերի բացվածք'!E17</f>
        <v>48.5</v>
      </c>
      <c r="G31" s="938">
        <f>'[3]3-Ծախսերի բացվածք'!G17</f>
        <v>48.5</v>
      </c>
      <c r="H31" s="938">
        <f t="shared" si="1"/>
        <v>0</v>
      </c>
      <c r="I31" s="938">
        <f t="shared" si="0"/>
        <v>16.350000000000001</v>
      </c>
      <c r="J31" s="938"/>
      <c r="K31" s="938">
        <v>48.5</v>
      </c>
      <c r="L31" s="938">
        <v>48.5</v>
      </c>
    </row>
    <row r="32" spans="1:12" s="934" customFormat="1" ht="27">
      <c r="A32" s="928"/>
      <c r="B32" s="929"/>
      <c r="C32" s="930"/>
      <c r="D32" s="939" t="s">
        <v>154</v>
      </c>
      <c r="E32" s="938">
        <v>1720.5</v>
      </c>
      <c r="F32" s="938">
        <f>'[3]3-Ծախսերի բացվածք'!E18</f>
        <v>1720.5</v>
      </c>
      <c r="G32" s="938">
        <f>'[3]3-Ծախսերի բացվածք'!G18</f>
        <v>1720.5</v>
      </c>
      <c r="H32" s="938">
        <f t="shared" si="1"/>
        <v>0</v>
      </c>
      <c r="I32" s="938">
        <f t="shared" si="0"/>
        <v>0</v>
      </c>
      <c r="J32" s="938"/>
      <c r="K32" s="938">
        <v>1720.5</v>
      </c>
      <c r="L32" s="938">
        <v>1720.5</v>
      </c>
    </row>
    <row r="33" spans="1:12" s="934" customFormat="1" ht="14.25">
      <c r="A33" s="928"/>
      <c r="B33" s="929"/>
      <c r="C33" s="930">
        <v>4214</v>
      </c>
      <c r="D33" s="940" t="s">
        <v>155</v>
      </c>
      <c r="E33" s="938">
        <v>5542.39</v>
      </c>
      <c r="F33" s="938">
        <f>'[3]3-Ծախսերի բացվածք'!E19</f>
        <v>9316.7000000000007</v>
      </c>
      <c r="G33" s="938">
        <f>'[3]3-Ծախսերի բացվածք'!G19</f>
        <v>9979.9156800000001</v>
      </c>
      <c r="H33" s="938">
        <f t="shared" si="1"/>
        <v>663.21567999999934</v>
      </c>
      <c r="I33" s="938">
        <f t="shared" si="0"/>
        <v>4437.5256799999997</v>
      </c>
      <c r="J33" s="932" t="s">
        <v>202</v>
      </c>
      <c r="K33" s="938">
        <v>9979.9156800000001</v>
      </c>
      <c r="L33" s="938">
        <v>9979.9156800000001</v>
      </c>
    </row>
    <row r="34" spans="1:12" s="910" customFormat="1" ht="23.25" customHeight="1">
      <c r="A34" s="928"/>
      <c r="B34" s="929"/>
      <c r="C34" s="930">
        <v>4215</v>
      </c>
      <c r="D34" s="940" t="s">
        <v>156</v>
      </c>
      <c r="E34" s="938">
        <v>811</v>
      </c>
      <c r="F34" s="938">
        <f>'[3]3-Ծախսերի բացվածք'!E28</f>
        <v>560</v>
      </c>
      <c r="G34" s="938">
        <f>'[3]3-Ծախսերի բացվածք'!G28</f>
        <v>560</v>
      </c>
      <c r="H34" s="938">
        <f t="shared" si="1"/>
        <v>0</v>
      </c>
      <c r="I34" s="938">
        <f t="shared" si="0"/>
        <v>-251</v>
      </c>
      <c r="J34" s="938"/>
      <c r="K34" s="938">
        <v>560</v>
      </c>
      <c r="L34" s="938">
        <v>560</v>
      </c>
    </row>
    <row r="35" spans="1:12" s="914" customFormat="1" ht="14.25">
      <c r="A35" s="928"/>
      <c r="B35" s="929"/>
      <c r="C35" s="930">
        <v>4216</v>
      </c>
      <c r="D35" s="940" t="s">
        <v>157</v>
      </c>
      <c r="E35" s="938">
        <v>2429.09</v>
      </c>
      <c r="F35" s="938">
        <f>'[3]3-Ծախսերի բացվածք'!E32</f>
        <v>2549.1</v>
      </c>
      <c r="G35" s="938">
        <f>'[3]3-Ծախսերի բացվածք'!G32</f>
        <v>2549.1</v>
      </c>
      <c r="H35" s="938">
        <f t="shared" si="1"/>
        <v>0</v>
      </c>
      <c r="I35" s="938">
        <f t="shared" si="0"/>
        <v>120.00999999999976</v>
      </c>
      <c r="J35" s="938"/>
      <c r="K35" s="938">
        <v>2549.1</v>
      </c>
      <c r="L35" s="938">
        <v>2549.1</v>
      </c>
    </row>
    <row r="36" spans="1:12" s="914" customFormat="1" ht="14.25">
      <c r="A36" s="928"/>
      <c r="B36" s="929"/>
      <c r="C36" s="930">
        <v>4217</v>
      </c>
      <c r="D36" s="940" t="s">
        <v>158</v>
      </c>
      <c r="E36" s="938"/>
      <c r="F36" s="938"/>
      <c r="G36" s="938"/>
      <c r="H36" s="938">
        <f t="shared" si="1"/>
        <v>0</v>
      </c>
      <c r="I36" s="938">
        <f t="shared" si="0"/>
        <v>0</v>
      </c>
      <c r="J36" s="938"/>
      <c r="K36" s="938"/>
      <c r="L36" s="938"/>
    </row>
    <row r="37" spans="1:12" s="914" customFormat="1" ht="14.25">
      <c r="A37" s="928"/>
      <c r="B37" s="929"/>
      <c r="C37" s="937"/>
      <c r="D37" s="926" t="s">
        <v>159</v>
      </c>
      <c r="E37" s="927">
        <f>E39+E40</f>
        <v>6719</v>
      </c>
      <c r="F37" s="927">
        <f>F39+F40</f>
        <v>9113</v>
      </c>
      <c r="G37" s="927">
        <f>G39+G40</f>
        <v>9471</v>
      </c>
      <c r="H37" s="927">
        <f t="shared" si="1"/>
        <v>358</v>
      </c>
      <c r="I37" s="927">
        <f t="shared" si="0"/>
        <v>2752</v>
      </c>
      <c r="J37" s="927"/>
      <c r="K37" s="927">
        <f>K39+K40</f>
        <v>9471</v>
      </c>
      <c r="L37" s="927">
        <f>L39+L40</f>
        <v>9471</v>
      </c>
    </row>
    <row r="38" spans="1:12" s="914" customFormat="1">
      <c r="A38" s="928"/>
      <c r="B38" s="929"/>
      <c r="C38" s="930"/>
      <c r="D38" s="916" t="s">
        <v>141</v>
      </c>
      <c r="E38" s="917"/>
      <c r="F38" s="917"/>
      <c r="G38" s="917"/>
      <c r="H38" s="917">
        <f t="shared" si="1"/>
        <v>0</v>
      </c>
      <c r="I38" s="917">
        <f t="shared" si="0"/>
        <v>0</v>
      </c>
      <c r="J38" s="917"/>
      <c r="K38" s="917"/>
      <c r="L38" s="917"/>
    </row>
    <row r="39" spans="1:12" s="914" customFormat="1">
      <c r="A39" s="928"/>
      <c r="B39" s="929"/>
      <c r="C39" s="930">
        <v>4221</v>
      </c>
      <c r="D39" s="916" t="s">
        <v>160</v>
      </c>
      <c r="E39" s="917">
        <v>6719</v>
      </c>
      <c r="F39" s="917">
        <f>'[3]10-գործուղում'!L69</f>
        <v>9113</v>
      </c>
      <c r="G39" s="917">
        <f>'[3]10-գործուղում'!S69</f>
        <v>9471</v>
      </c>
      <c r="H39" s="917">
        <f t="shared" si="1"/>
        <v>358</v>
      </c>
      <c r="I39" s="917">
        <f t="shared" si="0"/>
        <v>2752</v>
      </c>
      <c r="J39" s="917"/>
      <c r="K39" s="917">
        <f>G39</f>
        <v>9471</v>
      </c>
      <c r="L39" s="917">
        <f>K39</f>
        <v>9471</v>
      </c>
    </row>
    <row r="40" spans="1:12" s="914" customFormat="1">
      <c r="A40" s="928"/>
      <c r="B40" s="929"/>
      <c r="C40" s="930">
        <v>4222</v>
      </c>
      <c r="D40" s="916" t="s">
        <v>161</v>
      </c>
      <c r="E40" s="917"/>
      <c r="F40" s="917"/>
      <c r="G40" s="917"/>
      <c r="H40" s="917">
        <f t="shared" si="1"/>
        <v>0</v>
      </c>
      <c r="I40" s="917">
        <f t="shared" si="0"/>
        <v>0</v>
      </c>
      <c r="J40" s="917"/>
      <c r="K40" s="917"/>
      <c r="L40" s="917"/>
    </row>
    <row r="41" spans="1:12" s="934" customFormat="1" ht="14.25">
      <c r="A41" s="928"/>
      <c r="B41" s="929"/>
      <c r="C41" s="930">
        <v>4231</v>
      </c>
      <c r="D41" s="941" t="s">
        <v>162</v>
      </c>
      <c r="E41" s="917"/>
      <c r="F41" s="917"/>
      <c r="G41" s="917"/>
      <c r="H41" s="917">
        <f t="shared" si="1"/>
        <v>0</v>
      </c>
      <c r="I41" s="917">
        <f t="shared" si="0"/>
        <v>0</v>
      </c>
      <c r="J41" s="917"/>
      <c r="K41" s="917"/>
      <c r="L41" s="917"/>
    </row>
    <row r="42" spans="1:12" s="934" customFormat="1" ht="66" customHeight="1">
      <c r="A42" s="928"/>
      <c r="B42" s="929"/>
      <c r="C42" s="930">
        <v>4232</v>
      </c>
      <c r="D42" s="941" t="s">
        <v>163</v>
      </c>
      <c r="E42" s="917">
        <v>1870</v>
      </c>
      <c r="F42" s="917">
        <f>'[3]3-Ծախսերի բացվածք'!E36</f>
        <v>1880</v>
      </c>
      <c r="G42" s="917">
        <f>'[3]3-Ծախսերի բացվածք'!G36</f>
        <v>7205</v>
      </c>
      <c r="H42" s="917">
        <f t="shared" si="1"/>
        <v>5325</v>
      </c>
      <c r="I42" s="917">
        <f t="shared" si="0"/>
        <v>5335</v>
      </c>
      <c r="J42" s="918" t="s">
        <v>326</v>
      </c>
      <c r="K42" s="913">
        <v>4305</v>
      </c>
      <c r="L42" s="913">
        <v>4305</v>
      </c>
    </row>
    <row r="43" spans="1:12" s="934" customFormat="1" ht="28.5">
      <c r="A43" s="928"/>
      <c r="B43" s="929"/>
      <c r="C43" s="930">
        <v>4233</v>
      </c>
      <c r="D43" s="941" t="s">
        <v>164</v>
      </c>
      <c r="E43" s="917"/>
      <c r="F43" s="917"/>
      <c r="G43" s="917"/>
      <c r="H43" s="917">
        <f t="shared" si="1"/>
        <v>0</v>
      </c>
      <c r="I43" s="917">
        <f t="shared" si="0"/>
        <v>0</v>
      </c>
      <c r="J43" s="126"/>
      <c r="K43" s="917"/>
      <c r="L43" s="917"/>
    </row>
    <row r="44" spans="1:12" s="934" customFormat="1" ht="14.25">
      <c r="A44" s="928"/>
      <c r="B44" s="929"/>
      <c r="C44" s="930">
        <v>4234</v>
      </c>
      <c r="D44" s="941" t="s">
        <v>165</v>
      </c>
      <c r="E44" s="938">
        <v>377.1</v>
      </c>
      <c r="F44" s="938">
        <f>'[3]3-Ծախսերի բացվածք'!E45</f>
        <v>500</v>
      </c>
      <c r="G44" s="938">
        <f>'[3]3-Ծախսերի բացվածք'!G45</f>
        <v>500</v>
      </c>
      <c r="H44" s="938">
        <f t="shared" si="1"/>
        <v>0</v>
      </c>
      <c r="I44" s="938">
        <f t="shared" si="0"/>
        <v>122.89999999999998</v>
      </c>
      <c r="J44" s="938"/>
      <c r="K44" s="938">
        <v>500</v>
      </c>
      <c r="L44" s="938">
        <v>500</v>
      </c>
    </row>
    <row r="45" spans="1:12" s="910" customFormat="1" ht="63.75">
      <c r="A45" s="928"/>
      <c r="B45" s="929"/>
      <c r="C45" s="930">
        <v>4235</v>
      </c>
      <c r="D45" s="941" t="s">
        <v>166</v>
      </c>
      <c r="E45" s="938">
        <v>0</v>
      </c>
      <c r="F45" s="938">
        <f>'[3]3-Ծախսերի բացվածք'!E49</f>
        <v>0</v>
      </c>
      <c r="G45" s="938">
        <f>'[3]3-Ծախսերի բացվածք'!G49</f>
        <v>1000</v>
      </c>
      <c r="H45" s="938">
        <f t="shared" si="1"/>
        <v>1000</v>
      </c>
      <c r="I45" s="938">
        <f t="shared" si="0"/>
        <v>1000</v>
      </c>
      <c r="J45" s="942" t="s">
        <v>327</v>
      </c>
      <c r="K45" s="938">
        <v>1000</v>
      </c>
      <c r="L45" s="938">
        <v>1000</v>
      </c>
    </row>
    <row r="46" spans="1:12" s="934" customFormat="1" ht="28.5">
      <c r="A46" s="928"/>
      <c r="B46" s="929"/>
      <c r="C46" s="930">
        <v>4236</v>
      </c>
      <c r="D46" s="941" t="s">
        <v>167</v>
      </c>
      <c r="E46" s="938"/>
      <c r="F46" s="938"/>
      <c r="G46" s="938"/>
      <c r="H46" s="938">
        <f t="shared" si="1"/>
        <v>0</v>
      </c>
      <c r="I46" s="938">
        <f t="shared" si="0"/>
        <v>0</v>
      </c>
      <c r="J46" s="938"/>
      <c r="K46" s="938"/>
      <c r="L46" s="938"/>
    </row>
    <row r="47" spans="1:12" s="910" customFormat="1" ht="14.25">
      <c r="A47" s="928"/>
      <c r="B47" s="929"/>
      <c r="C47" s="930">
        <v>4237</v>
      </c>
      <c r="D47" s="941" t="s">
        <v>168</v>
      </c>
      <c r="E47" s="938">
        <v>1184.98</v>
      </c>
      <c r="F47" s="938">
        <f>'[3]3-Ծախսերի բացվածք'!E53</f>
        <v>1500</v>
      </c>
      <c r="G47" s="938">
        <f>'[3]3-Ծախսերի բացվածք'!G53</f>
        <v>1500</v>
      </c>
      <c r="H47" s="938">
        <f t="shared" si="1"/>
        <v>0</v>
      </c>
      <c r="I47" s="938">
        <f t="shared" si="0"/>
        <v>315.02</v>
      </c>
      <c r="J47" s="938"/>
      <c r="K47" s="938">
        <v>1500</v>
      </c>
      <c r="L47" s="938">
        <v>1500</v>
      </c>
    </row>
    <row r="48" spans="1:12" s="910" customFormat="1" ht="14.25">
      <c r="A48" s="928"/>
      <c r="B48" s="929"/>
      <c r="C48" s="930">
        <v>4239</v>
      </c>
      <c r="D48" s="912" t="s">
        <v>169</v>
      </c>
      <c r="E48" s="913">
        <v>700</v>
      </c>
      <c r="F48" s="913">
        <f>'[3]3-Ծախսերի բացվածք'!E57</f>
        <v>815</v>
      </c>
      <c r="G48" s="913">
        <f>'[3]3-Ծախսերի բացվածք'!G57</f>
        <v>815</v>
      </c>
      <c r="H48" s="913">
        <f t="shared" si="1"/>
        <v>0</v>
      </c>
      <c r="I48" s="913">
        <f t="shared" si="0"/>
        <v>115</v>
      </c>
      <c r="J48" s="913"/>
      <c r="K48" s="913">
        <v>815</v>
      </c>
      <c r="L48" s="913">
        <v>815</v>
      </c>
    </row>
    <row r="49" spans="1:12" s="910" customFormat="1" ht="25.5">
      <c r="A49" s="928"/>
      <c r="B49" s="929"/>
      <c r="C49" s="930">
        <v>4241</v>
      </c>
      <c r="D49" s="941" t="s">
        <v>170</v>
      </c>
      <c r="E49" s="938"/>
      <c r="F49" s="938">
        <f>'[3]3-Ծախսերի բացվածք'!E63</f>
        <v>0</v>
      </c>
      <c r="G49" s="938">
        <f>'[3]3-Ծախսերի բացվածք'!G63</f>
        <v>1164</v>
      </c>
      <c r="H49" s="938">
        <f t="shared" si="1"/>
        <v>1164</v>
      </c>
      <c r="I49" s="938">
        <f t="shared" si="0"/>
        <v>1164</v>
      </c>
      <c r="J49" s="943" t="s">
        <v>206</v>
      </c>
      <c r="K49" s="938">
        <v>1164</v>
      </c>
      <c r="L49" s="938">
        <v>1164</v>
      </c>
    </row>
    <row r="50" spans="1:12" s="910" customFormat="1" ht="28.5">
      <c r="A50" s="928"/>
      <c r="B50" s="929"/>
      <c r="C50" s="930">
        <v>4251</v>
      </c>
      <c r="D50" s="912" t="s">
        <v>79</v>
      </c>
      <c r="E50" s="913"/>
      <c r="F50" s="913"/>
      <c r="G50" s="913"/>
      <c r="H50" s="913">
        <f t="shared" si="1"/>
        <v>0</v>
      </c>
      <c r="I50" s="913">
        <f t="shared" si="0"/>
        <v>0</v>
      </c>
      <c r="J50" s="913"/>
      <c r="K50" s="913"/>
      <c r="L50" s="913"/>
    </row>
    <row r="51" spans="1:12" s="910" customFormat="1" ht="28.5">
      <c r="A51" s="928"/>
      <c r="B51" s="929"/>
      <c r="C51" s="937">
        <v>4252</v>
      </c>
      <c r="D51" s="926" t="s">
        <v>80</v>
      </c>
      <c r="E51" s="927">
        <f>E53+E54</f>
        <v>2009.7</v>
      </c>
      <c r="F51" s="927">
        <f>F53+F54</f>
        <v>3414.6</v>
      </c>
      <c r="G51" s="927">
        <f>G53+G54</f>
        <v>3414.6</v>
      </c>
      <c r="H51" s="927">
        <f t="shared" si="1"/>
        <v>0</v>
      </c>
      <c r="I51" s="927">
        <f t="shared" si="0"/>
        <v>1404.8999999999999</v>
      </c>
      <c r="J51" s="927"/>
      <c r="K51" s="927">
        <f>K53+K54</f>
        <v>3414.6</v>
      </c>
      <c r="L51" s="927">
        <f>L53+L54</f>
        <v>3414.6</v>
      </c>
    </row>
    <row r="52" spans="1:12" s="910" customFormat="1">
      <c r="A52" s="928"/>
      <c r="B52" s="929"/>
      <c r="C52" s="930"/>
      <c r="D52" s="916" t="s">
        <v>141</v>
      </c>
      <c r="E52" s="913"/>
      <c r="F52" s="913"/>
      <c r="G52" s="913"/>
      <c r="H52" s="913">
        <f t="shared" si="1"/>
        <v>0</v>
      </c>
      <c r="I52" s="913">
        <f t="shared" si="0"/>
        <v>0</v>
      </c>
      <c r="J52" s="913"/>
      <c r="K52" s="913"/>
      <c r="L52" s="913"/>
    </row>
    <row r="53" spans="1:12" s="934" customFormat="1" ht="27">
      <c r="A53" s="928"/>
      <c r="B53" s="929"/>
      <c r="C53" s="930"/>
      <c r="D53" s="944" t="s">
        <v>171</v>
      </c>
      <c r="E53" s="913">
        <v>811.3</v>
      </c>
      <c r="F53" s="913">
        <f>'[3]3-Ծախսերի բացվածք'!E70+'[3]3-Ծախսերի բացվածք'!E71+'[3]3-Ծախսերի բացվածք'!E72+'[3]3-Ծախսերի բացվածք'!E73+'[3]3-Ծախսերի բացվածք'!E74+'[3]3-Ծախսերի բացվածք'!E75</f>
        <v>2214.6</v>
      </c>
      <c r="G53" s="913">
        <f>'[3]3-Ծախսերի բացվածք'!G70+'[3]3-Ծախսերի բացվածք'!G71+'[3]3-Ծախսերի բացվածք'!G72+'[3]3-Ծախսերի բացվածք'!G73+'[3]3-Ծախսերի բացվածք'!G74+'[3]3-Ծախսերի բացվածք'!G75</f>
        <v>2214.6</v>
      </c>
      <c r="H53" s="913">
        <f t="shared" si="1"/>
        <v>0</v>
      </c>
      <c r="I53" s="913">
        <f t="shared" si="0"/>
        <v>1403.3</v>
      </c>
      <c r="J53" s="913"/>
      <c r="K53" s="913">
        <f>G53</f>
        <v>2214.6</v>
      </c>
      <c r="L53" s="913">
        <f>K53</f>
        <v>2214.6</v>
      </c>
    </row>
    <row r="54" spans="1:12" s="934" customFormat="1" ht="27">
      <c r="A54" s="928"/>
      <c r="B54" s="929"/>
      <c r="C54" s="930"/>
      <c r="D54" s="944" t="s">
        <v>172</v>
      </c>
      <c r="E54" s="913">
        <v>1198.4000000000001</v>
      </c>
      <c r="F54" s="913">
        <f>'[3]3-Ծախսերի բացվածք'!E76+'[3]3-Ծախսերի բացվածք'!E77</f>
        <v>1200</v>
      </c>
      <c r="G54" s="913">
        <f>'[3]3-Ծախսերի բացվածք'!G76+'[3]3-Ծախսերի բացվածք'!G77</f>
        <v>1200</v>
      </c>
      <c r="H54" s="913">
        <f t="shared" si="1"/>
        <v>0</v>
      </c>
      <c r="I54" s="913">
        <f t="shared" si="0"/>
        <v>1.5999999999999091</v>
      </c>
      <c r="J54" s="913"/>
      <c r="K54" s="913">
        <f>G54</f>
        <v>1200</v>
      </c>
      <c r="L54" s="913">
        <f>K54</f>
        <v>1200</v>
      </c>
    </row>
    <row r="55" spans="1:12" s="934" customFormat="1" ht="14.25">
      <c r="A55" s="928"/>
      <c r="B55" s="929"/>
      <c r="C55" s="937">
        <v>4261</v>
      </c>
      <c r="D55" s="926" t="s">
        <v>173</v>
      </c>
      <c r="E55" s="927">
        <f>E57+E58</f>
        <v>1723.3</v>
      </c>
      <c r="F55" s="927">
        <f>F57+F58</f>
        <v>2924.9999040000007</v>
      </c>
      <c r="G55" s="927">
        <f>G57+G58</f>
        <v>3063.5999040000006</v>
      </c>
      <c r="H55" s="927">
        <f t="shared" si="1"/>
        <v>138.59999999999991</v>
      </c>
      <c r="I55" s="927">
        <f t="shared" si="0"/>
        <v>1340.2999040000007</v>
      </c>
      <c r="J55" s="927"/>
      <c r="K55" s="927">
        <f>K57+K58</f>
        <v>3063.5999040000006</v>
      </c>
      <c r="L55" s="927">
        <f>L57+L58</f>
        <v>3063.5999040000006</v>
      </c>
    </row>
    <row r="56" spans="1:12" s="934" customFormat="1">
      <c r="A56" s="928"/>
      <c r="B56" s="929"/>
      <c r="C56" s="930"/>
      <c r="D56" s="916" t="s">
        <v>141</v>
      </c>
      <c r="E56" s="938"/>
      <c r="F56" s="938"/>
      <c r="G56" s="938"/>
      <c r="H56" s="938">
        <f t="shared" si="1"/>
        <v>0</v>
      </c>
      <c r="I56" s="938">
        <f t="shared" si="0"/>
        <v>0</v>
      </c>
      <c r="J56" s="938"/>
      <c r="K56" s="938"/>
      <c r="L56" s="938"/>
    </row>
    <row r="57" spans="1:12" s="934" customFormat="1" ht="63.75">
      <c r="A57" s="928"/>
      <c r="B57" s="929"/>
      <c r="C57" s="930"/>
      <c r="D57" s="916" t="s">
        <v>174</v>
      </c>
      <c r="E57" s="938">
        <v>1723.3</v>
      </c>
      <c r="F57" s="938">
        <f>'[3]3-Ծախսերի բացվածք'!E78</f>
        <v>2924.9999040000007</v>
      </c>
      <c r="G57" s="938">
        <f>'[3]3-Ծախսերի բացվածք'!G78</f>
        <v>3063.5999040000006</v>
      </c>
      <c r="H57" s="938">
        <f t="shared" si="1"/>
        <v>138.59999999999991</v>
      </c>
      <c r="I57" s="938">
        <f t="shared" si="0"/>
        <v>1340.2999040000007</v>
      </c>
      <c r="J57" s="942" t="s">
        <v>328</v>
      </c>
      <c r="K57" s="938">
        <v>3063.5999040000006</v>
      </c>
      <c r="L57" s="938">
        <v>3063.5999040000006</v>
      </c>
    </row>
    <row r="58" spans="1:12" s="934" customFormat="1">
      <c r="A58" s="928"/>
      <c r="B58" s="929"/>
      <c r="C58" s="930"/>
      <c r="D58" s="916" t="s">
        <v>175</v>
      </c>
      <c r="E58" s="938"/>
      <c r="F58" s="938"/>
      <c r="G58" s="938"/>
      <c r="H58" s="938">
        <f t="shared" si="1"/>
        <v>0</v>
      </c>
      <c r="I58" s="938">
        <f t="shared" si="0"/>
        <v>0</v>
      </c>
      <c r="J58" s="938"/>
      <c r="K58" s="938"/>
      <c r="L58" s="938"/>
    </row>
    <row r="59" spans="1:12" s="934" customFormat="1" ht="14.25">
      <c r="A59" s="928"/>
      <c r="B59" s="929"/>
      <c r="C59" s="930">
        <v>4262</v>
      </c>
      <c r="D59" s="941" t="s">
        <v>176</v>
      </c>
      <c r="E59" s="938"/>
      <c r="F59" s="938"/>
      <c r="G59" s="938"/>
      <c r="H59" s="938">
        <f t="shared" si="1"/>
        <v>0</v>
      </c>
      <c r="I59" s="938">
        <f t="shared" si="0"/>
        <v>0</v>
      </c>
      <c r="J59" s="938"/>
      <c r="K59" s="938"/>
      <c r="L59" s="938"/>
    </row>
    <row r="60" spans="1:12" s="934" customFormat="1" ht="14.25">
      <c r="A60" s="928"/>
      <c r="B60" s="929"/>
      <c r="C60" s="930">
        <v>4264</v>
      </c>
      <c r="D60" s="941" t="s">
        <v>81</v>
      </c>
      <c r="E60" s="938">
        <v>12402.5</v>
      </c>
      <c r="F60" s="938">
        <f>'[3]3-Ծախսերի բացվածք'!E148</f>
        <v>14416.8</v>
      </c>
      <c r="G60" s="938">
        <f>'[3]3-Ծախսերի բացվածք'!G148</f>
        <v>14449.6</v>
      </c>
      <c r="H60" s="938">
        <f t="shared" si="1"/>
        <v>32.800000000001091</v>
      </c>
      <c r="I60" s="938">
        <f t="shared" si="0"/>
        <v>2047.1000000000004</v>
      </c>
      <c r="J60" s="942" t="s">
        <v>202</v>
      </c>
      <c r="K60" s="913">
        <f>G60</f>
        <v>14449.6</v>
      </c>
      <c r="L60" s="913">
        <f>K60</f>
        <v>14449.6</v>
      </c>
    </row>
    <row r="61" spans="1:12" s="934" customFormat="1" ht="22.5" customHeight="1">
      <c r="A61" s="928"/>
      <c r="B61" s="929"/>
      <c r="C61" s="930">
        <v>4266</v>
      </c>
      <c r="D61" s="941" t="s">
        <v>177</v>
      </c>
      <c r="E61" s="938"/>
      <c r="F61" s="938"/>
      <c r="G61" s="938"/>
      <c r="H61" s="938">
        <f t="shared" si="1"/>
        <v>0</v>
      </c>
      <c r="I61" s="938">
        <f t="shared" si="0"/>
        <v>0</v>
      </c>
      <c r="J61" s="938"/>
      <c r="K61" s="938"/>
      <c r="L61" s="938"/>
    </row>
    <row r="62" spans="1:12" s="934" customFormat="1" ht="14.25">
      <c r="A62" s="928"/>
      <c r="B62" s="929"/>
      <c r="C62" s="930">
        <v>4267</v>
      </c>
      <c r="D62" s="941" t="s">
        <v>178</v>
      </c>
      <c r="E62" s="938">
        <v>618.20000000000005</v>
      </c>
      <c r="F62" s="938">
        <f>'[3]3-Ծախսերի բացվածք'!E165</f>
        <v>765</v>
      </c>
      <c r="G62" s="938">
        <f>'[3]3-Ծախսերի բացվածք'!G165</f>
        <v>765</v>
      </c>
      <c r="H62" s="938">
        <f t="shared" si="1"/>
        <v>0</v>
      </c>
      <c r="I62" s="938">
        <f t="shared" si="0"/>
        <v>146.79999999999995</v>
      </c>
      <c r="J62" s="938"/>
      <c r="K62" s="913">
        <f>G62</f>
        <v>765</v>
      </c>
      <c r="L62" s="913">
        <f>K62</f>
        <v>765</v>
      </c>
    </row>
    <row r="63" spans="1:12" s="934" customFormat="1" ht="25.5">
      <c r="A63" s="928"/>
      <c r="B63" s="929"/>
      <c r="C63" s="930">
        <v>4269</v>
      </c>
      <c r="D63" s="941" t="s">
        <v>82</v>
      </c>
      <c r="E63" s="938">
        <v>65</v>
      </c>
      <c r="F63" s="938">
        <f>'[3]3-Ծախսերի բացվածք'!E192</f>
        <v>0</v>
      </c>
      <c r="G63" s="938">
        <f>'[3]3-Ծախսերի բացվածք'!G192</f>
        <v>0</v>
      </c>
      <c r="H63" s="938">
        <f t="shared" si="1"/>
        <v>0</v>
      </c>
      <c r="I63" s="938">
        <f t="shared" si="0"/>
        <v>-65</v>
      </c>
      <c r="J63" s="942" t="s">
        <v>329</v>
      </c>
      <c r="K63" s="913">
        <f>G63</f>
        <v>0</v>
      </c>
      <c r="L63" s="913">
        <f>K63</f>
        <v>0</v>
      </c>
    </row>
    <row r="64" spans="1:12" s="934" customFormat="1" ht="28.5">
      <c r="A64" s="928"/>
      <c r="B64" s="929"/>
      <c r="C64" s="930">
        <v>4511</v>
      </c>
      <c r="D64" s="912" t="s">
        <v>179</v>
      </c>
      <c r="E64" s="938"/>
      <c r="F64" s="938"/>
      <c r="G64" s="938"/>
      <c r="H64" s="938">
        <f t="shared" si="1"/>
        <v>0</v>
      </c>
      <c r="I64" s="938">
        <f t="shared" si="0"/>
        <v>0</v>
      </c>
      <c r="J64" s="938"/>
      <c r="K64" s="938"/>
      <c r="L64" s="938"/>
    </row>
    <row r="65" spans="1:12" s="945" customFormat="1" ht="28.5">
      <c r="A65" s="928"/>
      <c r="B65" s="929"/>
      <c r="C65" s="930">
        <v>4621</v>
      </c>
      <c r="D65" s="912" t="s">
        <v>180</v>
      </c>
      <c r="E65" s="938"/>
      <c r="F65" s="938"/>
      <c r="G65" s="938"/>
      <c r="H65" s="938">
        <f t="shared" si="1"/>
        <v>0</v>
      </c>
      <c r="I65" s="938">
        <f t="shared" si="0"/>
        <v>0</v>
      </c>
      <c r="J65" s="128"/>
      <c r="K65" s="938"/>
      <c r="L65" s="938"/>
    </row>
    <row r="66" spans="1:12" s="945" customFormat="1" ht="28.5">
      <c r="A66" s="928"/>
      <c r="B66" s="929"/>
      <c r="C66" s="930">
        <v>4631</v>
      </c>
      <c r="D66" s="912" t="s">
        <v>181</v>
      </c>
      <c r="E66" s="938"/>
      <c r="F66" s="938"/>
      <c r="G66" s="938"/>
      <c r="H66" s="938">
        <f t="shared" si="1"/>
        <v>0</v>
      </c>
      <c r="I66" s="938">
        <f t="shared" si="0"/>
        <v>0</v>
      </c>
      <c r="J66" s="128"/>
      <c r="K66" s="938"/>
      <c r="L66" s="938"/>
    </row>
    <row r="67" spans="1:12" s="945" customFormat="1" ht="21.75" customHeight="1">
      <c r="A67" s="928"/>
      <c r="B67" s="929"/>
      <c r="C67" s="930">
        <v>4632</v>
      </c>
      <c r="D67" s="912" t="s">
        <v>182</v>
      </c>
      <c r="E67" s="938"/>
      <c r="F67" s="938"/>
      <c r="G67" s="938"/>
      <c r="H67" s="938">
        <f t="shared" si="1"/>
        <v>0</v>
      </c>
      <c r="I67" s="938">
        <f t="shared" si="0"/>
        <v>0</v>
      </c>
      <c r="J67" s="938"/>
      <c r="K67" s="938"/>
      <c r="L67" s="938"/>
    </row>
    <row r="68" spans="1:12" s="945" customFormat="1" ht="42" customHeight="1">
      <c r="A68" s="928"/>
      <c r="B68" s="929"/>
      <c r="C68" s="930" t="s">
        <v>330</v>
      </c>
      <c r="D68" s="912" t="s">
        <v>331</v>
      </c>
      <c r="E68" s="938"/>
      <c r="F68" s="938"/>
      <c r="G68" s="938"/>
      <c r="H68" s="938"/>
      <c r="I68" s="938"/>
      <c r="J68" s="938"/>
      <c r="K68" s="938"/>
      <c r="L68" s="938"/>
    </row>
    <row r="69" spans="1:12" s="945" customFormat="1" ht="48.75" customHeight="1">
      <c r="A69" s="928"/>
      <c r="B69" s="929"/>
      <c r="C69" s="930">
        <v>4638</v>
      </c>
      <c r="D69" s="912" t="s">
        <v>332</v>
      </c>
      <c r="E69" s="938"/>
      <c r="F69" s="938"/>
      <c r="G69" s="938"/>
      <c r="H69" s="938">
        <f t="shared" si="1"/>
        <v>0</v>
      </c>
      <c r="I69" s="938">
        <f t="shared" si="0"/>
        <v>0</v>
      </c>
      <c r="J69" s="938"/>
      <c r="K69" s="938"/>
      <c r="L69" s="938"/>
    </row>
    <row r="70" spans="1:12" s="945" customFormat="1" ht="14.25">
      <c r="A70" s="928"/>
      <c r="B70" s="929"/>
      <c r="C70" s="930" t="s">
        <v>183</v>
      </c>
      <c r="D70" s="912" t="s">
        <v>184</v>
      </c>
      <c r="E70" s="938"/>
      <c r="F70" s="938"/>
      <c r="G70" s="938"/>
      <c r="H70" s="938">
        <f t="shared" si="1"/>
        <v>0</v>
      </c>
      <c r="I70" s="938">
        <f t="shared" si="0"/>
        <v>0</v>
      </c>
      <c r="J70" s="938"/>
      <c r="K70" s="938"/>
      <c r="L70" s="938"/>
    </row>
    <row r="71" spans="1:12" s="945" customFormat="1" ht="14.25">
      <c r="A71" s="928"/>
      <c r="B71" s="929"/>
      <c r="C71" s="930">
        <v>4729</v>
      </c>
      <c r="D71" s="941" t="s">
        <v>185</v>
      </c>
      <c r="E71" s="938">
        <v>153.19999999999999</v>
      </c>
      <c r="F71" s="938">
        <v>153.19999999999999</v>
      </c>
      <c r="G71" s="938">
        <v>153.19999999999999</v>
      </c>
      <c r="H71" s="938">
        <f t="shared" si="1"/>
        <v>0</v>
      </c>
      <c r="I71" s="938">
        <f t="shared" si="0"/>
        <v>0</v>
      </c>
      <c r="J71" s="946"/>
      <c r="K71" s="938">
        <v>153.19999999999999</v>
      </c>
      <c r="L71" s="938">
        <v>153.19999999999999</v>
      </c>
    </row>
    <row r="72" spans="1:12" s="945" customFormat="1" ht="14.25">
      <c r="A72" s="928"/>
      <c r="B72" s="929"/>
      <c r="C72" s="930">
        <v>4822</v>
      </c>
      <c r="D72" s="941" t="s">
        <v>186</v>
      </c>
      <c r="E72" s="946"/>
      <c r="F72" s="946"/>
      <c r="G72" s="938"/>
      <c r="H72" s="938">
        <f t="shared" si="1"/>
        <v>0</v>
      </c>
      <c r="I72" s="938">
        <f t="shared" si="0"/>
        <v>0</v>
      </c>
      <c r="J72" s="946"/>
      <c r="K72" s="938"/>
      <c r="L72" s="938"/>
    </row>
    <row r="73" spans="1:12" s="945" customFormat="1" ht="14.25">
      <c r="A73" s="928"/>
      <c r="B73" s="929"/>
      <c r="C73" s="937">
        <v>4823</v>
      </c>
      <c r="D73" s="926" t="s">
        <v>187</v>
      </c>
      <c r="E73" s="927">
        <f>E75+E76+E77</f>
        <v>397.8</v>
      </c>
      <c r="F73" s="927">
        <f>F75+F76+F77</f>
        <v>168.6</v>
      </c>
      <c r="G73" s="927">
        <f>G75+G76+G77</f>
        <v>547</v>
      </c>
      <c r="H73" s="927">
        <f t="shared" si="1"/>
        <v>378.4</v>
      </c>
      <c r="I73" s="927">
        <f t="shared" si="0"/>
        <v>149.19999999999999</v>
      </c>
      <c r="J73" s="927"/>
      <c r="K73" s="927">
        <f>K75+K76+K77</f>
        <v>547</v>
      </c>
      <c r="L73" s="927">
        <f>L75+L76+L77</f>
        <v>547</v>
      </c>
    </row>
    <row r="74" spans="1:12" s="945" customFormat="1" ht="14.25">
      <c r="A74" s="928"/>
      <c r="B74" s="929"/>
      <c r="C74" s="930"/>
      <c r="D74" s="916" t="s">
        <v>141</v>
      </c>
      <c r="E74" s="946"/>
      <c r="F74" s="946"/>
      <c r="G74" s="938"/>
      <c r="H74" s="938">
        <f t="shared" si="1"/>
        <v>0</v>
      </c>
      <c r="I74" s="938">
        <f t="shared" ref="I74:I80" si="2">G74-E74</f>
        <v>0</v>
      </c>
      <c r="J74" s="946"/>
      <c r="K74" s="938"/>
      <c r="L74" s="938"/>
    </row>
    <row r="75" spans="1:12" s="934" customFormat="1" ht="38.25">
      <c r="A75" s="928"/>
      <c r="B75" s="929"/>
      <c r="C75" s="930"/>
      <c r="D75" s="916" t="s">
        <v>188</v>
      </c>
      <c r="E75" s="938">
        <v>170.3</v>
      </c>
      <c r="F75" s="938">
        <v>168.6</v>
      </c>
      <c r="G75" s="938">
        <v>247</v>
      </c>
      <c r="H75" s="938">
        <f t="shared" ref="H75:H88" si="3">+G75-F75</f>
        <v>78.400000000000006</v>
      </c>
      <c r="I75" s="938">
        <f t="shared" si="2"/>
        <v>76.699999999999989</v>
      </c>
      <c r="J75" s="943" t="s">
        <v>333</v>
      </c>
      <c r="K75" s="938">
        <v>247</v>
      </c>
      <c r="L75" s="938">
        <v>247</v>
      </c>
    </row>
    <row r="76" spans="1:12" ht="27.95" customHeight="1">
      <c r="A76" s="928"/>
      <c r="B76" s="929"/>
      <c r="C76" s="930"/>
      <c r="D76" s="916" t="s">
        <v>189</v>
      </c>
      <c r="E76" s="946"/>
      <c r="F76" s="946"/>
      <c r="G76" s="938"/>
      <c r="H76" s="938">
        <f t="shared" si="3"/>
        <v>0</v>
      </c>
      <c r="I76" s="938">
        <f t="shared" si="2"/>
        <v>0</v>
      </c>
      <c r="J76" s="946"/>
      <c r="K76" s="938"/>
      <c r="L76" s="938"/>
    </row>
    <row r="77" spans="1:12" ht="63.75">
      <c r="A77" s="928"/>
      <c r="B77" s="929"/>
      <c r="C77" s="930"/>
      <c r="D77" s="916" t="s">
        <v>190</v>
      </c>
      <c r="E77" s="938">
        <v>227.5</v>
      </c>
      <c r="F77" s="938">
        <v>0</v>
      </c>
      <c r="G77" s="938">
        <v>300</v>
      </c>
      <c r="H77" s="938">
        <f t="shared" si="3"/>
        <v>300</v>
      </c>
      <c r="I77" s="938">
        <f t="shared" si="2"/>
        <v>72.5</v>
      </c>
      <c r="J77" s="943" t="s">
        <v>334</v>
      </c>
      <c r="K77" s="938">
        <v>300</v>
      </c>
      <c r="L77" s="938">
        <v>300</v>
      </c>
    </row>
    <row r="78" spans="1:12" ht="31.5" customHeight="1">
      <c r="A78" s="928"/>
      <c r="B78" s="929"/>
      <c r="C78" s="930" t="s">
        <v>191</v>
      </c>
      <c r="D78" s="941" t="s">
        <v>192</v>
      </c>
      <c r="E78" s="946"/>
      <c r="F78" s="946"/>
      <c r="G78" s="938"/>
      <c r="H78" s="938">
        <f t="shared" si="3"/>
        <v>0</v>
      </c>
      <c r="I78" s="938">
        <f t="shared" si="2"/>
        <v>0</v>
      </c>
      <c r="J78" s="946"/>
      <c r="K78" s="938"/>
      <c r="L78" s="938"/>
    </row>
    <row r="79" spans="1:12" s="947" customFormat="1" ht="14.25">
      <c r="A79" s="928"/>
      <c r="B79" s="929"/>
      <c r="C79" s="930">
        <v>4861</v>
      </c>
      <c r="D79" s="941" t="s">
        <v>193</v>
      </c>
      <c r="E79" s="946"/>
      <c r="F79" s="946"/>
      <c r="G79" s="938"/>
      <c r="H79" s="938">
        <f t="shared" si="3"/>
        <v>0</v>
      </c>
      <c r="I79" s="938">
        <f t="shared" si="2"/>
        <v>0</v>
      </c>
      <c r="J79" s="946"/>
      <c r="K79" s="938"/>
      <c r="L79" s="938"/>
    </row>
    <row r="80" spans="1:12" ht="14.25">
      <c r="A80" s="948"/>
      <c r="B80" s="949"/>
      <c r="C80" s="930">
        <v>4891</v>
      </c>
      <c r="D80" s="941" t="s">
        <v>194</v>
      </c>
      <c r="E80" s="938"/>
      <c r="F80" s="938"/>
      <c r="G80" s="938"/>
      <c r="H80" s="938">
        <f t="shared" si="3"/>
        <v>0</v>
      </c>
      <c r="I80" s="938">
        <f t="shared" si="2"/>
        <v>0</v>
      </c>
      <c r="J80" s="938"/>
      <c r="K80" s="938"/>
      <c r="L80" s="938"/>
    </row>
    <row r="81" spans="1:12" ht="9.9499999999999993" customHeight="1">
      <c r="D81" s="951"/>
      <c r="E81" s="952"/>
      <c r="F81" s="952"/>
      <c r="G81" s="952"/>
      <c r="H81" s="952"/>
      <c r="I81" s="952"/>
      <c r="J81" s="952"/>
      <c r="K81" s="952"/>
      <c r="L81" s="952"/>
    </row>
    <row r="82" spans="1:12" s="956" customFormat="1" ht="28.5">
      <c r="A82" s="2020" t="s">
        <v>125</v>
      </c>
      <c r="B82" s="2020"/>
      <c r="C82" s="953"/>
      <c r="D82" s="954" t="s">
        <v>195</v>
      </c>
      <c r="E82" s="955">
        <f>SUM(E84:E88)</f>
        <v>13698.3</v>
      </c>
      <c r="F82" s="955">
        <f>SUM(F84:F88)</f>
        <v>15936.2</v>
      </c>
      <c r="G82" s="955">
        <f>SUM(G84:G88)</f>
        <v>15938.599199999999</v>
      </c>
      <c r="H82" s="955">
        <f>+G82-F82</f>
        <v>2.399199999998018</v>
      </c>
      <c r="I82" s="955">
        <f>G82-E82</f>
        <v>2240.2991999999995</v>
      </c>
      <c r="J82" s="955"/>
      <c r="K82" s="955">
        <f>SUM(K84:K88)</f>
        <v>15938.599199999999</v>
      </c>
      <c r="L82" s="955">
        <f>SUM(L84:L88)</f>
        <v>15938.599199999999</v>
      </c>
    </row>
    <row r="83" spans="1:12" s="950" customFormat="1" ht="23.25" customHeight="1">
      <c r="A83" s="1595" t="s">
        <v>127</v>
      </c>
      <c r="B83" s="1595" t="s">
        <v>128</v>
      </c>
      <c r="C83" s="957"/>
      <c r="D83" s="922" t="s">
        <v>141</v>
      </c>
      <c r="E83" s="958"/>
      <c r="F83" s="958"/>
      <c r="G83" s="958"/>
      <c r="H83" s="958"/>
      <c r="I83" s="958"/>
      <c r="J83" s="958"/>
      <c r="K83" s="958"/>
      <c r="L83" s="958"/>
    </row>
    <row r="84" spans="1:12" s="962" customFormat="1" ht="14.25" customHeight="1">
      <c r="A84" s="1701"/>
      <c r="B84" s="1701"/>
      <c r="C84" s="959">
        <v>5121</v>
      </c>
      <c r="D84" s="960" t="s">
        <v>197</v>
      </c>
      <c r="E84" s="938">
        <v>0</v>
      </c>
      <c r="F84" s="938">
        <f>'[3]3-Ծախսերի բացվածք'!E197</f>
        <v>0</v>
      </c>
      <c r="G84" s="938">
        <f>'[3]3-Ծախսերի բացվածք'!G197</f>
        <v>0</v>
      </c>
      <c r="H84" s="938">
        <f t="shared" si="3"/>
        <v>0</v>
      </c>
      <c r="I84" s="938">
        <f>G84-E84</f>
        <v>0</v>
      </c>
      <c r="J84" s="961" t="s">
        <v>203</v>
      </c>
      <c r="K84" s="913">
        <f>G84</f>
        <v>0</v>
      </c>
      <c r="L84" s="913">
        <f>K84</f>
        <v>0</v>
      </c>
    </row>
    <row r="85" spans="1:12" s="962" customFormat="1" ht="26.25" customHeight="1">
      <c r="A85" s="1702"/>
      <c r="B85" s="1702"/>
      <c r="C85" s="959">
        <v>5122</v>
      </c>
      <c r="D85" s="960" t="s">
        <v>198</v>
      </c>
      <c r="E85" s="938">
        <v>13698.3</v>
      </c>
      <c r="F85" s="938">
        <f>'[3]3-Ծախսերի բացվածք'!E201</f>
        <v>15936.2</v>
      </c>
      <c r="G85" s="938">
        <f>'[3]3-Ծախսերի բացվածք'!G201</f>
        <v>15938.599199999999</v>
      </c>
      <c r="H85" s="938">
        <f t="shared" si="3"/>
        <v>2.399199999998018</v>
      </c>
      <c r="I85" s="938">
        <f>G85-E85</f>
        <v>2240.2991999999995</v>
      </c>
      <c r="J85" s="961" t="s">
        <v>204</v>
      </c>
      <c r="K85" s="913">
        <f>G85</f>
        <v>15938.599199999999</v>
      </c>
      <c r="L85" s="913">
        <f>K85</f>
        <v>15938.599199999999</v>
      </c>
    </row>
    <row r="86" spans="1:12" s="962" customFormat="1" ht="63.75">
      <c r="A86" s="1702"/>
      <c r="B86" s="1703"/>
      <c r="C86" s="959">
        <v>5129</v>
      </c>
      <c r="D86" s="963" t="s">
        <v>88</v>
      </c>
      <c r="E86" s="938">
        <v>0</v>
      </c>
      <c r="F86" s="938">
        <f>'[3]3-Ծախսերի բացվածք'!E233</f>
        <v>0</v>
      </c>
      <c r="G86" s="938">
        <f>'[3]3-Ծախսերի բացվածք'!G233</f>
        <v>0</v>
      </c>
      <c r="H86" s="938">
        <f t="shared" si="3"/>
        <v>0</v>
      </c>
      <c r="I86" s="938">
        <f>G86-E86</f>
        <v>0</v>
      </c>
      <c r="J86" s="961" t="s">
        <v>205</v>
      </c>
      <c r="K86" s="913">
        <f>G86</f>
        <v>0</v>
      </c>
      <c r="L86" s="913">
        <f>K86</f>
        <v>0</v>
      </c>
    </row>
    <row r="87" spans="1:12" s="968" customFormat="1" ht="14.25" hidden="1">
      <c r="A87" s="928"/>
      <c r="B87" s="928"/>
      <c r="C87" s="964">
        <v>5131</v>
      </c>
      <c r="D87" s="965" t="s">
        <v>335</v>
      </c>
      <c r="E87" s="966"/>
      <c r="F87" s="966"/>
      <c r="G87" s="967"/>
      <c r="H87" s="967">
        <f>+G87-F87</f>
        <v>0</v>
      </c>
      <c r="I87" s="967">
        <f>G87-E87</f>
        <v>0</v>
      </c>
      <c r="J87" s="966"/>
      <c r="K87" s="967"/>
      <c r="L87" s="967"/>
    </row>
    <row r="88" spans="1:12" s="968" customFormat="1" ht="15.75" hidden="1" customHeight="1">
      <c r="A88" s="948"/>
      <c r="B88" s="948"/>
      <c r="C88" s="964">
        <v>5132</v>
      </c>
      <c r="D88" s="965" t="s">
        <v>199</v>
      </c>
      <c r="E88" s="966"/>
      <c r="F88" s="966"/>
      <c r="G88" s="967"/>
      <c r="H88" s="967">
        <f t="shared" si="3"/>
        <v>0</v>
      </c>
      <c r="I88" s="967">
        <f>G88-E88</f>
        <v>0</v>
      </c>
      <c r="J88" s="966"/>
      <c r="K88" s="967"/>
      <c r="L88" s="967"/>
    </row>
  </sheetData>
  <mergeCells count="12">
    <mergeCell ref="A82:B82"/>
    <mergeCell ref="A10:A18"/>
    <mergeCell ref="B10:B12"/>
    <mergeCell ref="B13:B14"/>
    <mergeCell ref="B15:B16"/>
    <mergeCell ref="B17:B18"/>
    <mergeCell ref="J26:J28"/>
    <mergeCell ref="A2:H2"/>
    <mergeCell ref="D3:I3"/>
    <mergeCell ref="A6:B6"/>
    <mergeCell ref="A7:B7"/>
    <mergeCell ref="C7:D7"/>
  </mergeCells>
  <conditionalFormatting sqref="C8:D8">
    <cfRule type="cellIs" dxfId="5" priority="2" stopIfTrue="1" operator="equal">
      <formula>0</formula>
    </cfRule>
  </conditionalFormatting>
  <conditionalFormatting sqref="D14:D15">
    <cfRule type="cellIs" dxfId="4" priority="1" stopIfTrue="1" operator="equal">
      <formula>0</formula>
    </cfRule>
  </conditionalFormatting>
  <pageMargins left="0.7" right="0.7" top="0.75" bottom="0.75" header="0.3" footer="0.3"/>
  <ignoredErrors>
    <ignoredError sqref="B4:B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8"/>
  <sheetViews>
    <sheetView topLeftCell="A3" workbookViewId="0">
      <selection activeCell="G15" sqref="G15"/>
    </sheetView>
  </sheetViews>
  <sheetFormatPr defaultRowHeight="13.5"/>
  <cols>
    <col min="1" max="1" width="9.140625" style="133"/>
    <col min="2" max="2" width="8.5703125" style="133" customWidth="1"/>
    <col min="3" max="3" width="6.7109375" style="76" customWidth="1"/>
    <col min="4" max="4" width="45.5703125" style="77" customWidth="1"/>
    <col min="5" max="6" width="11.7109375" style="78" customWidth="1"/>
    <col min="7" max="7" width="11" style="78" customWidth="1"/>
    <col min="8" max="8" width="12.5703125" style="78" customWidth="1"/>
    <col min="9" max="9" width="14.7109375" style="78" customWidth="1"/>
    <col min="10" max="10" width="28.28515625" style="78" customWidth="1"/>
    <col min="11" max="12" width="11" style="78" customWidth="1"/>
    <col min="13" max="16384" width="9.140625" style="80"/>
  </cols>
  <sheetData>
    <row r="1" spans="1:12" ht="21.75" customHeight="1">
      <c r="A1" s="75"/>
      <c r="B1" s="75"/>
      <c r="J1" s="79" t="s">
        <v>120</v>
      </c>
    </row>
    <row r="2" spans="1:12" s="75" customFormat="1" ht="25.5" customHeight="1" thickBot="1">
      <c r="A2" s="2027" t="s">
        <v>336</v>
      </c>
      <c r="B2" s="2027"/>
      <c r="C2" s="2028"/>
      <c r="D2" s="2028"/>
      <c r="E2" s="2028"/>
      <c r="F2" s="2028"/>
      <c r="G2" s="2028"/>
      <c r="H2" s="2028"/>
      <c r="I2" s="81"/>
      <c r="J2" s="79" t="s">
        <v>121</v>
      </c>
      <c r="K2" s="82"/>
      <c r="L2" s="82"/>
    </row>
    <row r="3" spans="1:12" s="85" customFormat="1" ht="16.5">
      <c r="A3" s="86" t="s">
        <v>10</v>
      </c>
      <c r="B3" s="972" t="s">
        <v>13</v>
      </c>
      <c r="C3" s="83"/>
      <c r="D3" s="2029"/>
      <c r="E3" s="2029"/>
      <c r="F3" s="2029"/>
      <c r="G3" s="2029"/>
      <c r="H3" s="2029"/>
      <c r="I3" s="2029"/>
      <c r="J3" s="84"/>
    </row>
    <row r="4" spans="1:12" s="85" customFormat="1" ht="16.5">
      <c r="A4" s="86" t="s">
        <v>122</v>
      </c>
      <c r="B4" s="972" t="s">
        <v>14</v>
      </c>
      <c r="C4" s="83"/>
      <c r="D4" s="646"/>
      <c r="E4" s="646"/>
      <c r="F4" s="646"/>
      <c r="G4" s="646"/>
      <c r="H4" s="646"/>
      <c r="I4" s="646"/>
      <c r="J4" s="84"/>
      <c r="K4" s="646"/>
      <c r="L4" s="646"/>
    </row>
    <row r="5" spans="1:12" s="75" customFormat="1" ht="14.25">
      <c r="A5" s="86" t="s">
        <v>123</v>
      </c>
      <c r="B5" s="972" t="s">
        <v>15</v>
      </c>
      <c r="C5" s="87"/>
      <c r="D5" s="88"/>
      <c r="E5" s="79"/>
      <c r="F5" s="79"/>
      <c r="G5" s="79"/>
      <c r="H5" s="79"/>
      <c r="I5" s="79"/>
      <c r="J5" s="79"/>
      <c r="K5" s="79"/>
      <c r="L5" s="79"/>
    </row>
    <row r="6" spans="1:12" s="76" customFormat="1">
      <c r="A6" s="2030"/>
      <c r="B6" s="2030"/>
      <c r="C6" s="89"/>
      <c r="D6" s="90"/>
      <c r="E6" s="969"/>
      <c r="F6" s="969"/>
      <c r="H6" s="91" t="s">
        <v>124</v>
      </c>
      <c r="I6" s="92"/>
    </row>
    <row r="7" spans="1:12" s="76" customFormat="1" ht="13.5" customHeight="1">
      <c r="A7" s="2031" t="s">
        <v>125</v>
      </c>
      <c r="B7" s="2032"/>
      <c r="C7" s="2033"/>
      <c r="D7" s="2034"/>
      <c r="E7" s="970" t="s">
        <v>0</v>
      </c>
      <c r="F7" s="970" t="s">
        <v>1</v>
      </c>
      <c r="G7" s="971" t="s">
        <v>2</v>
      </c>
      <c r="H7" s="93"/>
      <c r="I7" s="93"/>
      <c r="J7" s="93"/>
      <c r="K7" s="971" t="s">
        <v>3</v>
      </c>
      <c r="L7" s="971" t="s">
        <v>207</v>
      </c>
    </row>
    <row r="8" spans="1:12" s="76" customFormat="1" ht="63.75">
      <c r="A8" s="94" t="s">
        <v>127</v>
      </c>
      <c r="B8" s="94" t="s">
        <v>128</v>
      </c>
      <c r="C8" s="95" t="s">
        <v>129</v>
      </c>
      <c r="D8" s="95" t="s">
        <v>130</v>
      </c>
      <c r="E8" s="93" t="s">
        <v>131</v>
      </c>
      <c r="F8" s="96" t="s">
        <v>132</v>
      </c>
      <c r="G8" s="93" t="s">
        <v>133</v>
      </c>
      <c r="H8" s="93" t="s">
        <v>319</v>
      </c>
      <c r="I8" s="93" t="s">
        <v>320</v>
      </c>
      <c r="J8" s="93" t="s">
        <v>134</v>
      </c>
      <c r="K8" s="93" t="s">
        <v>133</v>
      </c>
      <c r="L8" s="93" t="s">
        <v>133</v>
      </c>
    </row>
    <row r="9" spans="1:12" s="99" customFormat="1">
      <c r="A9" s="97">
        <v>1</v>
      </c>
      <c r="B9" s="97">
        <v>2</v>
      </c>
      <c r="C9" s="98">
        <v>3</v>
      </c>
      <c r="D9" s="98">
        <v>4</v>
      </c>
      <c r="E9" s="98">
        <v>5</v>
      </c>
      <c r="F9" s="98">
        <v>6</v>
      </c>
      <c r="G9" s="98">
        <v>7</v>
      </c>
      <c r="H9" s="98">
        <v>8</v>
      </c>
      <c r="I9" s="98">
        <v>9</v>
      </c>
      <c r="J9" s="98">
        <v>10</v>
      </c>
      <c r="K9" s="98">
        <v>7</v>
      </c>
      <c r="L9" s="98">
        <v>7</v>
      </c>
    </row>
    <row r="10" spans="1:12" s="102" customFormat="1" ht="14.25" customHeight="1">
      <c r="A10" s="2035" t="s">
        <v>200</v>
      </c>
      <c r="B10" s="2037">
        <v>11002</v>
      </c>
      <c r="C10" s="100"/>
      <c r="D10" s="149" t="s">
        <v>136</v>
      </c>
      <c r="E10" s="101">
        <v>26</v>
      </c>
      <c r="F10" s="101">
        <v>26</v>
      </c>
      <c r="G10" s="101">
        <v>26</v>
      </c>
      <c r="H10" s="101">
        <f>+G10-F10</f>
        <v>0</v>
      </c>
      <c r="I10" s="101">
        <f t="shared" ref="I10:I73" si="0">G10-E10</f>
        <v>0</v>
      </c>
      <c r="J10" s="101"/>
      <c r="K10" s="101">
        <v>26</v>
      </c>
      <c r="L10" s="101">
        <v>26</v>
      </c>
    </row>
    <row r="11" spans="1:12" s="102" customFormat="1" ht="13.5" customHeight="1">
      <c r="A11" s="2036"/>
      <c r="B11" s="2038"/>
      <c r="C11" s="103"/>
      <c r="D11" s="104"/>
      <c r="E11" s="105"/>
      <c r="F11" s="105"/>
      <c r="G11" s="105"/>
      <c r="H11" s="105">
        <f t="shared" ref="H11:H74" si="1">+G11-F11</f>
        <v>0</v>
      </c>
      <c r="I11" s="105">
        <f t="shared" si="0"/>
        <v>0</v>
      </c>
      <c r="J11" s="105"/>
      <c r="K11" s="105"/>
      <c r="L11" s="105"/>
    </row>
    <row r="12" spans="1:12" s="102" customFormat="1" ht="14.25" customHeight="1">
      <c r="A12" s="2036"/>
      <c r="B12" s="2038"/>
      <c r="C12" s="103"/>
      <c r="D12" s="106" t="s">
        <v>137</v>
      </c>
      <c r="E12" s="105">
        <v>1</v>
      </c>
      <c r="F12" s="105">
        <v>1</v>
      </c>
      <c r="G12" s="105">
        <v>1</v>
      </c>
      <c r="H12" s="105">
        <f t="shared" si="1"/>
        <v>0</v>
      </c>
      <c r="I12" s="105">
        <f t="shared" si="0"/>
        <v>0</v>
      </c>
      <c r="J12" s="105"/>
      <c r="K12" s="105">
        <v>1</v>
      </c>
      <c r="L12" s="105">
        <v>1</v>
      </c>
    </row>
    <row r="13" spans="1:12" s="146" customFormat="1" ht="14.25" customHeight="1">
      <c r="A13" s="2036"/>
      <c r="B13" s="2038"/>
      <c r="C13" s="103"/>
      <c r="D13" s="104"/>
      <c r="E13" s="105"/>
      <c r="F13" s="105"/>
      <c r="G13" s="105"/>
      <c r="H13" s="105">
        <f t="shared" si="1"/>
        <v>0</v>
      </c>
      <c r="I13" s="105">
        <f t="shared" si="0"/>
        <v>0</v>
      </c>
      <c r="J13" s="105"/>
      <c r="K13" s="105"/>
      <c r="L13" s="105"/>
    </row>
    <row r="14" spans="1:12" s="99" customFormat="1" ht="14.25" customHeight="1">
      <c r="A14" s="2036"/>
      <c r="B14" s="2038"/>
      <c r="C14" s="107"/>
      <c r="D14" s="108" t="s">
        <v>138</v>
      </c>
      <c r="E14" s="109">
        <f>+E16+E82</f>
        <v>97486.312999999995</v>
      </c>
      <c r="F14" s="109">
        <f>+F16+F82</f>
        <v>99042.720430054018</v>
      </c>
      <c r="G14" s="109">
        <f>+G16+G82</f>
        <v>99042.700430054028</v>
      </c>
      <c r="H14" s="109">
        <f t="shared" si="1"/>
        <v>-1.9999999989522621E-2</v>
      </c>
      <c r="I14" s="109">
        <f t="shared" si="0"/>
        <v>1556.3874300540338</v>
      </c>
      <c r="J14" s="109"/>
      <c r="K14" s="109">
        <f>+K16+K82</f>
        <v>99042.720430054018</v>
      </c>
      <c r="L14" s="109">
        <f>+L16+L82</f>
        <v>99042.720430054018</v>
      </c>
    </row>
    <row r="15" spans="1:12" s="99" customFormat="1" ht="14.25" customHeight="1">
      <c r="A15" s="2036"/>
      <c r="B15" s="2038"/>
      <c r="C15" s="110"/>
      <c r="D15" s="111" t="s">
        <v>139</v>
      </c>
      <c r="E15" s="105"/>
      <c r="F15" s="105"/>
      <c r="G15" s="105"/>
      <c r="H15" s="109"/>
      <c r="I15" s="109"/>
      <c r="J15" s="105"/>
      <c r="K15" s="105"/>
      <c r="L15" s="105"/>
    </row>
    <row r="16" spans="1:12" s="99" customFormat="1" ht="14.25" customHeight="1">
      <c r="A16" s="2036"/>
      <c r="B16" s="2038"/>
      <c r="C16" s="112"/>
      <c r="D16" s="973" t="s">
        <v>140</v>
      </c>
      <c r="E16" s="974">
        <f>E18+SUM(E24:E80)-E24-E29-E37-E51-E55-E73</f>
        <v>97486.312999999995</v>
      </c>
      <c r="F16" s="109">
        <f>F18+SUM(F24:F80)-F24-F29-F37-F51-F55-F73</f>
        <v>99042.720430054018</v>
      </c>
      <c r="G16" s="109">
        <f>G18+SUM(G24:G80)-G24-G29-G37-G51-G55-G73</f>
        <v>99042.700430054028</v>
      </c>
      <c r="H16" s="109">
        <f>+G16-F16</f>
        <v>-1.9999999989522621E-2</v>
      </c>
      <c r="I16" s="109">
        <f>G16-E16</f>
        <v>1556.3874300540338</v>
      </c>
      <c r="J16" s="109"/>
      <c r="K16" s="109">
        <f>K18+SUM(K24:K80)-K24-K29-K37-K51-K55-K73</f>
        <v>99042.720430054018</v>
      </c>
      <c r="L16" s="109">
        <f>L18+SUM(L24:L80)-L24-L29-L37-L51-L55-L73</f>
        <v>99042.720430054018</v>
      </c>
    </row>
    <row r="17" spans="1:12" s="99" customFormat="1" ht="13.5" customHeight="1">
      <c r="A17" s="2036"/>
      <c r="B17" s="2038"/>
      <c r="C17" s="100"/>
      <c r="D17" s="104" t="s">
        <v>141</v>
      </c>
      <c r="E17" s="101"/>
      <c r="F17" s="101"/>
      <c r="G17" s="105"/>
      <c r="H17" s="105">
        <f>+G17-F17</f>
        <v>0</v>
      </c>
      <c r="I17" s="105">
        <f>G17-E17</f>
        <v>0</v>
      </c>
      <c r="J17" s="101"/>
      <c r="K17" s="105"/>
      <c r="L17" s="105"/>
    </row>
    <row r="18" spans="1:12" s="99" customFormat="1" ht="14.25" customHeight="1">
      <c r="A18" s="2036"/>
      <c r="B18" s="2038"/>
      <c r="C18" s="113"/>
      <c r="D18" s="114" t="s">
        <v>142</v>
      </c>
      <c r="E18" s="115">
        <f>SUM(E20:E23)</f>
        <v>92362.532999999996</v>
      </c>
      <c r="F18" s="115">
        <f>SUM(F20:F23)</f>
        <v>92355.000430054017</v>
      </c>
      <c r="G18" s="115">
        <f>SUM(G20:G23)</f>
        <v>92355.000430054017</v>
      </c>
      <c r="H18" s="115">
        <f>+G18-F18</f>
        <v>0</v>
      </c>
      <c r="I18" s="115">
        <f>G18-E18</f>
        <v>-7.5325699459790485</v>
      </c>
      <c r="J18" s="115"/>
      <c r="K18" s="115">
        <f>SUM(K20:K23)</f>
        <v>92355.000430054017</v>
      </c>
      <c r="L18" s="115">
        <f>SUM(L20:L23)</f>
        <v>92355.000430054017</v>
      </c>
    </row>
    <row r="19" spans="1:12" s="99" customFormat="1">
      <c r="A19" s="116"/>
      <c r="B19" s="117"/>
      <c r="C19" s="100"/>
      <c r="D19" s="104" t="s">
        <v>141</v>
      </c>
      <c r="E19" s="101"/>
      <c r="F19" s="101"/>
      <c r="G19" s="105"/>
      <c r="H19" s="105">
        <f t="shared" si="1"/>
        <v>0</v>
      </c>
      <c r="I19" s="101">
        <f t="shared" si="0"/>
        <v>0</v>
      </c>
      <c r="J19" s="101"/>
      <c r="K19" s="105"/>
      <c r="L19" s="105"/>
    </row>
    <row r="20" spans="1:12" s="99" customFormat="1" ht="28.5">
      <c r="A20" s="116"/>
      <c r="B20" s="117"/>
      <c r="C20" s="118" t="s">
        <v>143</v>
      </c>
      <c r="D20" s="119" t="s">
        <v>144</v>
      </c>
      <c r="E20" s="101">
        <v>71833.675000000003</v>
      </c>
      <c r="F20" s="101">
        <f>'[4]29աշխատավարձի ֆոնդ'!N20/1000</f>
        <v>71831.700430054014</v>
      </c>
      <c r="G20" s="101">
        <f>'[4]29աշխատավարձի ֆոնդ'!H20/1000</f>
        <v>71831.700430054014</v>
      </c>
      <c r="H20" s="101">
        <f t="shared" si="1"/>
        <v>0</v>
      </c>
      <c r="I20" s="101">
        <f t="shared" si="0"/>
        <v>-1.9745699459890602</v>
      </c>
      <c r="J20" s="101"/>
      <c r="K20" s="101">
        <f>'[4]29աշխատավարձի ֆոնդ'!Z20/1000</f>
        <v>71831.700430054014</v>
      </c>
      <c r="L20" s="101">
        <f>'[4]29աշխատավարձի ֆոնդ'!AF20/1000</f>
        <v>71831.700430054014</v>
      </c>
    </row>
    <row r="21" spans="1:12" s="120" customFormat="1" ht="28.5">
      <c r="A21" s="116"/>
      <c r="B21" s="117"/>
      <c r="C21" s="118" t="s">
        <v>145</v>
      </c>
      <c r="D21" s="121" t="s">
        <v>146</v>
      </c>
      <c r="E21" s="101">
        <v>20528.858</v>
      </c>
      <c r="F21" s="101">
        <v>20523.3</v>
      </c>
      <c r="G21" s="101">
        <v>20523.3</v>
      </c>
      <c r="H21" s="101">
        <f t="shared" si="1"/>
        <v>0</v>
      </c>
      <c r="I21" s="101">
        <f t="shared" si="0"/>
        <v>-5.5580000000009022</v>
      </c>
      <c r="J21" s="101"/>
      <c r="K21" s="101">
        <v>20523.3</v>
      </c>
      <c r="L21" s="101">
        <v>20523.3</v>
      </c>
    </row>
    <row r="22" spans="1:12" s="120" customFormat="1" ht="28.5">
      <c r="A22" s="116"/>
      <c r="B22" s="117"/>
      <c r="C22" s="118" t="s">
        <v>147</v>
      </c>
      <c r="D22" s="121" t="s">
        <v>148</v>
      </c>
      <c r="E22" s="101"/>
      <c r="F22" s="101"/>
      <c r="G22" s="101"/>
      <c r="H22" s="101">
        <f t="shared" si="1"/>
        <v>0</v>
      </c>
      <c r="I22" s="101">
        <f t="shared" si="0"/>
        <v>0</v>
      </c>
      <c r="J22" s="101"/>
      <c r="K22" s="101"/>
      <c r="L22" s="101"/>
    </row>
    <row r="23" spans="1:12" s="120" customFormat="1" ht="28.5">
      <c r="A23" s="116"/>
      <c r="B23" s="117"/>
      <c r="C23" s="975" t="s">
        <v>323</v>
      </c>
      <c r="D23" s="121" t="s">
        <v>324</v>
      </c>
      <c r="E23" s="22"/>
      <c r="F23" s="22"/>
      <c r="G23" s="22"/>
      <c r="H23" s="22">
        <f t="shared" si="1"/>
        <v>0</v>
      </c>
      <c r="I23" s="22">
        <f t="shared" si="0"/>
        <v>0</v>
      </c>
      <c r="J23" s="22"/>
      <c r="K23" s="22"/>
      <c r="L23" s="22"/>
    </row>
    <row r="24" spans="1:12" s="120" customFormat="1" ht="14.25">
      <c r="A24" s="116"/>
      <c r="B24" s="117"/>
      <c r="C24" s="122">
        <v>4212</v>
      </c>
      <c r="D24" s="114" t="s">
        <v>149</v>
      </c>
      <c r="E24" s="115">
        <f>E26+E27+E28</f>
        <v>784.1</v>
      </c>
      <c r="F24" s="115">
        <f>F26+F27+F28</f>
        <v>1100</v>
      </c>
      <c r="G24" s="115">
        <f>G26+G27+G28</f>
        <v>1100</v>
      </c>
      <c r="H24" s="115">
        <f t="shared" si="1"/>
        <v>0</v>
      </c>
      <c r="I24" s="115">
        <f t="shared" si="0"/>
        <v>315.89999999999998</v>
      </c>
      <c r="J24" s="115"/>
      <c r="K24" s="115">
        <f>K26+K27+K28</f>
        <v>1100</v>
      </c>
      <c r="L24" s="115">
        <f>L26+L27+L28</f>
        <v>1100</v>
      </c>
    </row>
    <row r="25" spans="1:12" s="120" customFormat="1">
      <c r="A25" s="116"/>
      <c r="B25" s="117"/>
      <c r="C25" s="118"/>
      <c r="D25" s="104" t="s">
        <v>141</v>
      </c>
      <c r="E25" s="123"/>
      <c r="F25" s="123"/>
      <c r="G25" s="123"/>
      <c r="H25" s="123">
        <f t="shared" si="1"/>
        <v>0</v>
      </c>
      <c r="I25" s="123">
        <f t="shared" si="0"/>
        <v>0</v>
      </c>
      <c r="J25" s="123"/>
      <c r="K25" s="123"/>
      <c r="L25" s="123"/>
    </row>
    <row r="26" spans="1:12" s="120" customFormat="1">
      <c r="A26" s="116"/>
      <c r="B26" s="117"/>
      <c r="C26" s="118"/>
      <c r="D26" s="104" t="s">
        <v>149</v>
      </c>
      <c r="E26" s="123">
        <v>784.1</v>
      </c>
      <c r="F26" s="123">
        <v>1100</v>
      </c>
      <c r="G26" s="123">
        <v>1100</v>
      </c>
      <c r="H26" s="123">
        <f t="shared" si="1"/>
        <v>0</v>
      </c>
      <c r="I26" s="123">
        <f t="shared" si="0"/>
        <v>315.89999999999998</v>
      </c>
      <c r="J26" s="123"/>
      <c r="K26" s="123">
        <v>1100</v>
      </c>
      <c r="L26" s="123">
        <v>1100</v>
      </c>
    </row>
    <row r="27" spans="1:12" s="120" customFormat="1">
      <c r="A27" s="116"/>
      <c r="B27" s="117"/>
      <c r="C27" s="118"/>
      <c r="D27" s="104" t="s">
        <v>150</v>
      </c>
      <c r="E27" s="123"/>
      <c r="F27" s="123"/>
      <c r="G27" s="123"/>
      <c r="H27" s="123">
        <f t="shared" si="1"/>
        <v>0</v>
      </c>
      <c r="I27" s="123">
        <f t="shared" si="0"/>
        <v>0</v>
      </c>
      <c r="J27" s="123"/>
      <c r="K27" s="123"/>
      <c r="L27" s="123"/>
    </row>
    <row r="28" spans="1:12" s="120" customFormat="1">
      <c r="A28" s="116"/>
      <c r="B28" s="117"/>
      <c r="C28" s="118"/>
      <c r="D28" s="104" t="s">
        <v>151</v>
      </c>
      <c r="E28" s="123"/>
      <c r="F28" s="123"/>
      <c r="G28" s="123"/>
      <c r="H28" s="123">
        <f t="shared" si="1"/>
        <v>0</v>
      </c>
      <c r="I28" s="123">
        <f t="shared" si="0"/>
        <v>0</v>
      </c>
      <c r="J28" s="123"/>
      <c r="K28" s="123"/>
      <c r="L28" s="123"/>
    </row>
    <row r="29" spans="1:12" s="120" customFormat="1" ht="14.25">
      <c r="A29" s="116"/>
      <c r="B29" s="117"/>
      <c r="C29" s="122">
        <v>4213</v>
      </c>
      <c r="D29" s="114" t="s">
        <v>152</v>
      </c>
      <c r="E29" s="115">
        <f>E31+E32</f>
        <v>32.156999999999996</v>
      </c>
      <c r="F29" s="115">
        <f>F31+F32</f>
        <v>37.200000000000003</v>
      </c>
      <c r="G29" s="115">
        <f>G31+G32</f>
        <v>37.200000000000003</v>
      </c>
      <c r="H29" s="115">
        <f>+G29-F29</f>
        <v>0</v>
      </c>
      <c r="I29" s="115">
        <f t="shared" si="0"/>
        <v>5.0430000000000064</v>
      </c>
      <c r="J29" s="115"/>
      <c r="K29" s="115">
        <f>K31+K32</f>
        <v>37.200000000000003</v>
      </c>
      <c r="L29" s="115">
        <f>L31+L32</f>
        <v>37.200000000000003</v>
      </c>
    </row>
    <row r="30" spans="1:12" s="120" customFormat="1">
      <c r="A30" s="116"/>
      <c r="B30" s="117"/>
      <c r="C30" s="118"/>
      <c r="D30" s="104" t="s">
        <v>141</v>
      </c>
      <c r="E30" s="123"/>
      <c r="F30" s="123"/>
      <c r="G30" s="123"/>
      <c r="H30" s="123">
        <f t="shared" si="1"/>
        <v>0</v>
      </c>
      <c r="I30" s="123">
        <f t="shared" si="0"/>
        <v>0</v>
      </c>
      <c r="J30" s="123"/>
      <c r="K30" s="123"/>
      <c r="L30" s="123"/>
    </row>
    <row r="31" spans="1:12" s="120" customFormat="1" ht="27">
      <c r="A31" s="116"/>
      <c r="B31" s="117"/>
      <c r="C31" s="118"/>
      <c r="D31" s="124" t="s">
        <v>153</v>
      </c>
      <c r="E31" s="123">
        <v>32.156999999999996</v>
      </c>
      <c r="F31" s="123">
        <v>37.200000000000003</v>
      </c>
      <c r="G31" s="123">
        <v>37.200000000000003</v>
      </c>
      <c r="H31" s="123">
        <f t="shared" si="1"/>
        <v>0</v>
      </c>
      <c r="I31" s="123">
        <f t="shared" si="0"/>
        <v>5.0430000000000064</v>
      </c>
      <c r="J31" s="123"/>
      <c r="K31" s="123">
        <v>37.200000000000003</v>
      </c>
      <c r="L31" s="123">
        <v>37.200000000000003</v>
      </c>
    </row>
    <row r="32" spans="1:12" s="120" customFormat="1" ht="27">
      <c r="A32" s="116"/>
      <c r="B32" s="117"/>
      <c r="C32" s="118"/>
      <c r="D32" s="124" t="s">
        <v>154</v>
      </c>
      <c r="E32" s="123"/>
      <c r="F32" s="123"/>
      <c r="G32" s="123"/>
      <c r="H32" s="123">
        <f t="shared" si="1"/>
        <v>0</v>
      </c>
      <c r="I32" s="123">
        <f t="shared" si="0"/>
        <v>0</v>
      </c>
      <c r="J32" s="123"/>
      <c r="K32" s="123"/>
      <c r="L32" s="123"/>
    </row>
    <row r="33" spans="1:12" s="120" customFormat="1" ht="14.25">
      <c r="A33" s="116"/>
      <c r="B33" s="117"/>
      <c r="C33" s="118">
        <v>4214</v>
      </c>
      <c r="D33" s="125" t="s">
        <v>155</v>
      </c>
      <c r="E33" s="123">
        <v>494.673</v>
      </c>
      <c r="F33" s="123">
        <f>'[4]3-Ծախսերի բացվածք'!E22</f>
        <v>1011</v>
      </c>
      <c r="G33" s="123">
        <v>1011</v>
      </c>
      <c r="H33" s="123">
        <f t="shared" si="1"/>
        <v>0</v>
      </c>
      <c r="I33" s="123">
        <f t="shared" si="0"/>
        <v>516.327</v>
      </c>
      <c r="J33" s="123"/>
      <c r="K33" s="123">
        <v>1011</v>
      </c>
      <c r="L33" s="123">
        <v>1011</v>
      </c>
    </row>
    <row r="34" spans="1:12" s="99" customFormat="1" ht="23.25" customHeight="1">
      <c r="A34" s="116"/>
      <c r="B34" s="117"/>
      <c r="C34" s="118">
        <v>4215</v>
      </c>
      <c r="D34" s="125" t="s">
        <v>156</v>
      </c>
      <c r="E34" s="123">
        <v>41</v>
      </c>
      <c r="F34" s="123">
        <v>43</v>
      </c>
      <c r="G34" s="123">
        <v>43</v>
      </c>
      <c r="H34" s="123">
        <f t="shared" si="1"/>
        <v>0</v>
      </c>
      <c r="I34" s="123">
        <f t="shared" si="0"/>
        <v>2</v>
      </c>
      <c r="J34" s="123"/>
      <c r="K34" s="123">
        <v>43</v>
      </c>
      <c r="L34" s="123">
        <v>43</v>
      </c>
    </row>
    <row r="35" spans="1:12" s="102" customFormat="1" ht="14.25">
      <c r="A35" s="116"/>
      <c r="B35" s="117"/>
      <c r="C35" s="118">
        <v>4216</v>
      </c>
      <c r="D35" s="125" t="s">
        <v>157</v>
      </c>
      <c r="E35" s="123">
        <v>1656.4</v>
      </c>
      <c r="F35" s="123">
        <v>1680</v>
      </c>
      <c r="G35" s="123">
        <v>1680</v>
      </c>
      <c r="H35" s="123">
        <f t="shared" si="1"/>
        <v>0</v>
      </c>
      <c r="I35" s="123">
        <f t="shared" si="0"/>
        <v>23.599999999999909</v>
      </c>
      <c r="J35" s="123"/>
      <c r="K35" s="123">
        <v>1680</v>
      </c>
      <c r="L35" s="123">
        <v>1680</v>
      </c>
    </row>
    <row r="36" spans="1:12" s="102" customFormat="1" ht="14.25">
      <c r="A36" s="116"/>
      <c r="B36" s="117"/>
      <c r="C36" s="118">
        <v>4217</v>
      </c>
      <c r="D36" s="125" t="s">
        <v>158</v>
      </c>
      <c r="E36" s="123"/>
      <c r="F36" s="123"/>
      <c r="G36" s="123"/>
      <c r="H36" s="123">
        <f t="shared" si="1"/>
        <v>0</v>
      </c>
      <c r="I36" s="123">
        <f t="shared" si="0"/>
        <v>0</v>
      </c>
      <c r="J36" s="123"/>
      <c r="K36" s="123"/>
      <c r="L36" s="123"/>
    </row>
    <row r="37" spans="1:12" s="102" customFormat="1" ht="14.25">
      <c r="A37" s="116"/>
      <c r="B37" s="117"/>
      <c r="C37" s="122"/>
      <c r="D37" s="114" t="s">
        <v>159</v>
      </c>
      <c r="E37" s="115">
        <f>E39+E40</f>
        <v>290.39999999999998</v>
      </c>
      <c r="F37" s="115">
        <f>F39+F40</f>
        <v>453</v>
      </c>
      <c r="G37" s="115">
        <f>G39+G40</f>
        <v>453</v>
      </c>
      <c r="H37" s="115">
        <f t="shared" si="1"/>
        <v>0</v>
      </c>
      <c r="I37" s="115">
        <f t="shared" si="0"/>
        <v>162.60000000000002</v>
      </c>
      <c r="J37" s="115"/>
      <c r="K37" s="115">
        <f>K39+K40</f>
        <v>453</v>
      </c>
      <c r="L37" s="115">
        <f>L39+L40</f>
        <v>453</v>
      </c>
    </row>
    <row r="38" spans="1:12" s="102" customFormat="1">
      <c r="A38" s="116"/>
      <c r="B38" s="117"/>
      <c r="C38" s="118"/>
      <c r="D38" s="104" t="s">
        <v>141</v>
      </c>
      <c r="E38" s="105"/>
      <c r="F38" s="105"/>
      <c r="G38" s="105"/>
      <c r="H38" s="105">
        <f t="shared" si="1"/>
        <v>0</v>
      </c>
      <c r="I38" s="105">
        <f t="shared" si="0"/>
        <v>0</v>
      </c>
      <c r="J38" s="105"/>
      <c r="K38" s="105"/>
      <c r="L38" s="105"/>
    </row>
    <row r="39" spans="1:12" s="102" customFormat="1">
      <c r="A39" s="116"/>
      <c r="B39" s="117"/>
      <c r="C39" s="118">
        <v>4221</v>
      </c>
      <c r="D39" s="104" t="s">
        <v>160</v>
      </c>
      <c r="E39" s="105">
        <v>290.39999999999998</v>
      </c>
      <c r="F39" s="105">
        <v>453</v>
      </c>
      <c r="G39" s="105">
        <v>453</v>
      </c>
      <c r="H39" s="105">
        <f t="shared" si="1"/>
        <v>0</v>
      </c>
      <c r="I39" s="105">
        <f t="shared" si="0"/>
        <v>162.60000000000002</v>
      </c>
      <c r="J39" s="105"/>
      <c r="K39" s="105">
        <v>453</v>
      </c>
      <c r="L39" s="105">
        <v>453</v>
      </c>
    </row>
    <row r="40" spans="1:12" s="102" customFormat="1">
      <c r="A40" s="116"/>
      <c r="B40" s="117"/>
      <c r="C40" s="118">
        <v>4222</v>
      </c>
      <c r="D40" s="104" t="s">
        <v>161</v>
      </c>
      <c r="E40" s="105"/>
      <c r="F40" s="105"/>
      <c r="G40" s="105"/>
      <c r="H40" s="105">
        <f t="shared" si="1"/>
        <v>0</v>
      </c>
      <c r="I40" s="105">
        <f t="shared" si="0"/>
        <v>0</v>
      </c>
      <c r="J40" s="105"/>
      <c r="K40" s="105"/>
      <c r="L40" s="105"/>
    </row>
    <row r="41" spans="1:12" s="120" customFormat="1" ht="14.25">
      <c r="A41" s="116"/>
      <c r="B41" s="117"/>
      <c r="C41" s="118">
        <v>4231</v>
      </c>
      <c r="D41" s="106" t="s">
        <v>162</v>
      </c>
      <c r="E41" s="105"/>
      <c r="F41" s="105"/>
      <c r="G41" s="105"/>
      <c r="H41" s="105">
        <f t="shared" si="1"/>
        <v>0</v>
      </c>
      <c r="I41" s="105">
        <f t="shared" si="0"/>
        <v>0</v>
      </c>
      <c r="J41" s="105"/>
      <c r="K41" s="105"/>
      <c r="L41" s="105"/>
    </row>
    <row r="42" spans="1:12" s="120" customFormat="1" ht="16.5">
      <c r="A42" s="116"/>
      <c r="B42" s="117"/>
      <c r="C42" s="118">
        <v>4232</v>
      </c>
      <c r="D42" s="106" t="s">
        <v>163</v>
      </c>
      <c r="E42" s="105">
        <v>95</v>
      </c>
      <c r="F42" s="105">
        <v>180</v>
      </c>
      <c r="G42" s="105">
        <v>180</v>
      </c>
      <c r="H42" s="105">
        <f t="shared" si="1"/>
        <v>0</v>
      </c>
      <c r="I42" s="105">
        <f t="shared" si="0"/>
        <v>85</v>
      </c>
      <c r="J42" s="126"/>
      <c r="K42" s="105">
        <v>180</v>
      </c>
      <c r="L42" s="105">
        <v>180</v>
      </c>
    </row>
    <row r="43" spans="1:12" s="120" customFormat="1" ht="30" customHeight="1">
      <c r="A43" s="116"/>
      <c r="B43" s="117"/>
      <c r="C43" s="118">
        <v>4233</v>
      </c>
      <c r="D43" s="106" t="s">
        <v>164</v>
      </c>
      <c r="E43" s="105"/>
      <c r="F43" s="105"/>
      <c r="G43" s="105"/>
      <c r="H43" s="105">
        <f t="shared" si="1"/>
        <v>0</v>
      </c>
      <c r="I43" s="105">
        <f t="shared" si="0"/>
        <v>0</v>
      </c>
      <c r="J43" s="126"/>
      <c r="K43" s="105"/>
      <c r="L43" s="105"/>
    </row>
    <row r="44" spans="1:12" s="120" customFormat="1" ht="14.25">
      <c r="A44" s="116"/>
      <c r="B44" s="117"/>
      <c r="C44" s="118">
        <v>4234</v>
      </c>
      <c r="D44" s="106" t="s">
        <v>165</v>
      </c>
      <c r="E44" s="123">
        <v>72</v>
      </c>
      <c r="F44" s="123">
        <v>100</v>
      </c>
      <c r="G44" s="123">
        <v>100</v>
      </c>
      <c r="H44" s="123">
        <f t="shared" si="1"/>
        <v>0</v>
      </c>
      <c r="I44" s="123">
        <f t="shared" si="0"/>
        <v>28</v>
      </c>
      <c r="J44" s="123"/>
      <c r="K44" s="123">
        <v>100</v>
      </c>
      <c r="L44" s="123">
        <v>100</v>
      </c>
    </row>
    <row r="45" spans="1:12" s="99" customFormat="1" ht="14.25">
      <c r="A45" s="116"/>
      <c r="B45" s="117"/>
      <c r="C45" s="118">
        <v>4235</v>
      </c>
      <c r="D45" s="106" t="s">
        <v>166</v>
      </c>
      <c r="E45" s="123"/>
      <c r="F45" s="123"/>
      <c r="G45" s="123"/>
      <c r="H45" s="123">
        <f t="shared" si="1"/>
        <v>0</v>
      </c>
      <c r="I45" s="123">
        <f t="shared" si="0"/>
        <v>0</v>
      </c>
      <c r="J45" s="123"/>
      <c r="K45" s="123"/>
      <c r="L45" s="123"/>
    </row>
    <row r="46" spans="1:12" s="120" customFormat="1" ht="28.5">
      <c r="A46" s="116"/>
      <c r="B46" s="117"/>
      <c r="C46" s="118">
        <v>4236</v>
      </c>
      <c r="D46" s="106" t="s">
        <v>167</v>
      </c>
      <c r="E46" s="123"/>
      <c r="F46" s="123"/>
      <c r="G46" s="123"/>
      <c r="H46" s="123">
        <f t="shared" si="1"/>
        <v>0</v>
      </c>
      <c r="I46" s="123">
        <f t="shared" si="0"/>
        <v>0</v>
      </c>
      <c r="J46" s="123"/>
      <c r="K46" s="123"/>
      <c r="L46" s="123"/>
    </row>
    <row r="47" spans="1:12" s="99" customFormat="1" ht="14.25">
      <c r="A47" s="116"/>
      <c r="B47" s="117"/>
      <c r="C47" s="118">
        <v>4237</v>
      </c>
      <c r="D47" s="106" t="s">
        <v>168</v>
      </c>
      <c r="E47" s="123">
        <v>149.25</v>
      </c>
      <c r="F47" s="123">
        <v>150</v>
      </c>
      <c r="G47" s="123">
        <v>150</v>
      </c>
      <c r="H47" s="123">
        <f t="shared" si="1"/>
        <v>0</v>
      </c>
      <c r="I47" s="123">
        <f t="shared" si="0"/>
        <v>0.75</v>
      </c>
      <c r="J47" s="123"/>
      <c r="K47" s="123">
        <v>150</v>
      </c>
      <c r="L47" s="123">
        <v>150</v>
      </c>
    </row>
    <row r="48" spans="1:12" s="99" customFormat="1" ht="14.25">
      <c r="A48" s="116"/>
      <c r="B48" s="117"/>
      <c r="C48" s="118">
        <v>4239</v>
      </c>
      <c r="D48" s="149" t="s">
        <v>169</v>
      </c>
      <c r="E48" s="101"/>
      <c r="F48" s="101"/>
      <c r="G48" s="101"/>
      <c r="H48" s="101">
        <f t="shared" si="1"/>
        <v>0</v>
      </c>
      <c r="I48" s="101">
        <f t="shared" si="0"/>
        <v>0</v>
      </c>
      <c r="J48" s="101"/>
      <c r="K48" s="101"/>
      <c r="L48" s="101"/>
    </row>
    <row r="49" spans="1:12" s="99" customFormat="1" ht="14.25">
      <c r="A49" s="116"/>
      <c r="B49" s="117"/>
      <c r="C49" s="118">
        <v>4241</v>
      </c>
      <c r="D49" s="106" t="s">
        <v>170</v>
      </c>
      <c r="E49" s="123"/>
      <c r="F49" s="123"/>
      <c r="G49" s="123"/>
      <c r="H49" s="123">
        <f t="shared" si="1"/>
        <v>0</v>
      </c>
      <c r="I49" s="123">
        <f t="shared" si="0"/>
        <v>0</v>
      </c>
      <c r="J49" s="123"/>
      <c r="K49" s="123"/>
      <c r="L49" s="123"/>
    </row>
    <row r="50" spans="1:12" s="99" customFormat="1" ht="28.5">
      <c r="A50" s="116"/>
      <c r="B50" s="117"/>
      <c r="C50" s="118">
        <v>4251</v>
      </c>
      <c r="D50" s="149" t="s">
        <v>79</v>
      </c>
      <c r="E50" s="101"/>
      <c r="F50" s="101"/>
      <c r="G50" s="101"/>
      <c r="H50" s="101">
        <f t="shared" si="1"/>
        <v>0</v>
      </c>
      <c r="I50" s="101">
        <f t="shared" si="0"/>
        <v>0</v>
      </c>
      <c r="J50" s="101"/>
      <c r="K50" s="101"/>
      <c r="L50" s="101"/>
    </row>
    <row r="51" spans="1:12" s="99" customFormat="1" ht="28.5">
      <c r="A51" s="116"/>
      <c r="B51" s="117"/>
      <c r="C51" s="122">
        <v>4252</v>
      </c>
      <c r="D51" s="114" t="s">
        <v>80</v>
      </c>
      <c r="E51" s="115">
        <f>E53+E54</f>
        <v>296</v>
      </c>
      <c r="F51" s="115">
        <f>F53+F54</f>
        <v>346.2</v>
      </c>
      <c r="G51" s="115">
        <f>G53+G54</f>
        <v>346.2</v>
      </c>
      <c r="H51" s="115">
        <f t="shared" si="1"/>
        <v>0</v>
      </c>
      <c r="I51" s="115">
        <f t="shared" si="0"/>
        <v>50.199999999999989</v>
      </c>
      <c r="J51" s="115"/>
      <c r="K51" s="115">
        <f>K53+K54</f>
        <v>346.2</v>
      </c>
      <c r="L51" s="115">
        <f>L53+L54</f>
        <v>346.2</v>
      </c>
    </row>
    <row r="52" spans="1:12" s="99" customFormat="1">
      <c r="A52" s="116"/>
      <c r="B52" s="117"/>
      <c r="C52" s="118"/>
      <c r="D52" s="104" t="s">
        <v>141</v>
      </c>
      <c r="E52" s="101"/>
      <c r="F52" s="101"/>
      <c r="G52" s="101"/>
      <c r="H52" s="101">
        <f t="shared" si="1"/>
        <v>0</v>
      </c>
      <c r="I52" s="101">
        <f t="shared" si="0"/>
        <v>0</v>
      </c>
      <c r="J52" s="101"/>
      <c r="K52" s="101"/>
      <c r="L52" s="101"/>
    </row>
    <row r="53" spans="1:12" s="120" customFormat="1" ht="27">
      <c r="A53" s="116"/>
      <c r="B53" s="117"/>
      <c r="C53" s="118"/>
      <c r="D53" s="28" t="s">
        <v>171</v>
      </c>
      <c r="E53" s="101">
        <v>296</v>
      </c>
      <c r="F53" s="101">
        <v>346.2</v>
      </c>
      <c r="G53" s="101">
        <v>346.2</v>
      </c>
      <c r="H53" s="101">
        <f t="shared" si="1"/>
        <v>0</v>
      </c>
      <c r="I53" s="101">
        <f t="shared" si="0"/>
        <v>50.199999999999989</v>
      </c>
      <c r="J53" s="101"/>
      <c r="K53" s="101">
        <v>346.2</v>
      </c>
      <c r="L53" s="101">
        <v>346.2</v>
      </c>
    </row>
    <row r="54" spans="1:12" s="120" customFormat="1" ht="27">
      <c r="A54" s="116"/>
      <c r="B54" s="117"/>
      <c r="C54" s="118"/>
      <c r="D54" s="28" t="s">
        <v>172</v>
      </c>
      <c r="E54" s="101"/>
      <c r="F54" s="101"/>
      <c r="G54" s="101"/>
      <c r="H54" s="101">
        <f t="shared" si="1"/>
        <v>0</v>
      </c>
      <c r="I54" s="101">
        <f t="shared" si="0"/>
        <v>0</v>
      </c>
      <c r="J54" s="101"/>
      <c r="K54" s="101"/>
      <c r="L54" s="101"/>
    </row>
    <row r="55" spans="1:12" s="120" customFormat="1" ht="14.25">
      <c r="A55" s="116"/>
      <c r="B55" s="117"/>
      <c r="C55" s="122">
        <v>4261</v>
      </c>
      <c r="D55" s="114" t="s">
        <v>173</v>
      </c>
      <c r="E55" s="115">
        <f>E57+E58</f>
        <v>212.3</v>
      </c>
      <c r="F55" s="115">
        <f>F57+F58</f>
        <v>338</v>
      </c>
      <c r="G55" s="115">
        <f>G57+G58</f>
        <v>338</v>
      </c>
      <c r="H55" s="115">
        <f t="shared" si="1"/>
        <v>0</v>
      </c>
      <c r="I55" s="115">
        <f t="shared" si="0"/>
        <v>125.69999999999999</v>
      </c>
      <c r="J55" s="115"/>
      <c r="K55" s="115">
        <f>K57+K58</f>
        <v>338</v>
      </c>
      <c r="L55" s="115">
        <f>L57+L58</f>
        <v>338</v>
      </c>
    </row>
    <row r="56" spans="1:12" s="120" customFormat="1">
      <c r="A56" s="116"/>
      <c r="B56" s="117"/>
      <c r="C56" s="118"/>
      <c r="D56" s="104" t="s">
        <v>141</v>
      </c>
      <c r="E56" s="123"/>
      <c r="F56" s="123"/>
      <c r="G56" s="123"/>
      <c r="H56" s="123">
        <f t="shared" si="1"/>
        <v>0</v>
      </c>
      <c r="I56" s="123">
        <f t="shared" si="0"/>
        <v>0</v>
      </c>
      <c r="J56" s="123"/>
      <c r="K56" s="123"/>
      <c r="L56" s="123"/>
    </row>
    <row r="57" spans="1:12" s="120" customFormat="1">
      <c r="A57" s="116"/>
      <c r="B57" s="117"/>
      <c r="C57" s="118"/>
      <c r="D57" s="104" t="s">
        <v>174</v>
      </c>
      <c r="E57" s="123">
        <v>212.3</v>
      </c>
      <c r="F57" s="123">
        <v>338</v>
      </c>
      <c r="G57" s="123">
        <v>338</v>
      </c>
      <c r="H57" s="123">
        <f t="shared" si="1"/>
        <v>0</v>
      </c>
      <c r="I57" s="123">
        <f t="shared" si="0"/>
        <v>125.69999999999999</v>
      </c>
      <c r="J57" s="123"/>
      <c r="K57" s="123">
        <v>338</v>
      </c>
      <c r="L57" s="123">
        <v>338</v>
      </c>
    </row>
    <row r="58" spans="1:12" s="120" customFormat="1">
      <c r="A58" s="116"/>
      <c r="B58" s="117"/>
      <c r="C58" s="118"/>
      <c r="D58" s="104" t="s">
        <v>175</v>
      </c>
      <c r="E58" s="123"/>
      <c r="F58" s="123"/>
      <c r="G58" s="123"/>
      <c r="H58" s="123">
        <f t="shared" si="1"/>
        <v>0</v>
      </c>
      <c r="I58" s="123">
        <f t="shared" si="0"/>
        <v>0</v>
      </c>
      <c r="J58" s="123"/>
      <c r="K58" s="123"/>
      <c r="L58" s="123"/>
    </row>
    <row r="59" spans="1:12" s="120" customFormat="1" ht="14.25">
      <c r="A59" s="116"/>
      <c r="B59" s="117"/>
      <c r="C59" s="118">
        <v>4262</v>
      </c>
      <c r="D59" s="106" t="s">
        <v>176</v>
      </c>
      <c r="E59" s="123"/>
      <c r="F59" s="123"/>
      <c r="G59" s="123"/>
      <c r="H59" s="123">
        <f t="shared" si="1"/>
        <v>0</v>
      </c>
      <c r="I59" s="123">
        <f t="shared" si="0"/>
        <v>0</v>
      </c>
      <c r="J59" s="123"/>
      <c r="K59" s="123"/>
      <c r="L59" s="123"/>
    </row>
    <row r="60" spans="1:12" s="120" customFormat="1" ht="14.25">
      <c r="A60" s="116"/>
      <c r="B60" s="117"/>
      <c r="C60" s="118">
        <v>4264</v>
      </c>
      <c r="D60" s="106" t="s">
        <v>81</v>
      </c>
      <c r="E60" s="123">
        <v>820</v>
      </c>
      <c r="F60" s="123">
        <v>992.8</v>
      </c>
      <c r="G60" s="123">
        <v>992.8</v>
      </c>
      <c r="H60" s="123">
        <f t="shared" si="1"/>
        <v>0</v>
      </c>
      <c r="I60" s="123">
        <f t="shared" si="0"/>
        <v>172.79999999999995</v>
      </c>
      <c r="J60" s="123"/>
      <c r="K60" s="123">
        <v>992.8</v>
      </c>
      <c r="L60" s="123">
        <v>992.8</v>
      </c>
    </row>
    <row r="61" spans="1:12" s="120" customFormat="1" ht="22.5" customHeight="1">
      <c r="A61" s="116"/>
      <c r="B61" s="117"/>
      <c r="C61" s="118">
        <v>4266</v>
      </c>
      <c r="D61" s="106" t="s">
        <v>177</v>
      </c>
      <c r="E61" s="123"/>
      <c r="F61" s="123"/>
      <c r="G61" s="123"/>
      <c r="H61" s="123">
        <f t="shared" si="1"/>
        <v>0</v>
      </c>
      <c r="I61" s="123">
        <f t="shared" si="0"/>
        <v>0</v>
      </c>
      <c r="J61" s="123"/>
      <c r="K61" s="123"/>
      <c r="L61" s="123"/>
    </row>
    <row r="62" spans="1:12" s="120" customFormat="1" ht="14.25">
      <c r="A62" s="116"/>
      <c r="B62" s="117"/>
      <c r="C62" s="118">
        <v>4267</v>
      </c>
      <c r="D62" s="106" t="s">
        <v>178</v>
      </c>
      <c r="E62" s="123">
        <v>143.30000000000001</v>
      </c>
      <c r="F62" s="123">
        <v>143.30000000000001</v>
      </c>
      <c r="G62" s="123">
        <v>143.30000000000001</v>
      </c>
      <c r="H62" s="123">
        <f t="shared" si="1"/>
        <v>0</v>
      </c>
      <c r="I62" s="123">
        <f t="shared" si="0"/>
        <v>0</v>
      </c>
      <c r="J62" s="123"/>
      <c r="K62" s="123">
        <v>143.30000000000001</v>
      </c>
      <c r="L62" s="123">
        <v>143.30000000000001</v>
      </c>
    </row>
    <row r="63" spans="1:12" s="120" customFormat="1" ht="14.25">
      <c r="A63" s="116"/>
      <c r="B63" s="117"/>
      <c r="C63" s="118">
        <v>4269</v>
      </c>
      <c r="D63" s="106" t="s">
        <v>82</v>
      </c>
      <c r="E63" s="123"/>
      <c r="F63" s="123"/>
      <c r="G63" s="123"/>
      <c r="H63" s="123">
        <f t="shared" si="1"/>
        <v>0</v>
      </c>
      <c r="I63" s="123">
        <f t="shared" si="0"/>
        <v>0</v>
      </c>
      <c r="J63" s="123"/>
      <c r="K63" s="123"/>
      <c r="L63" s="123"/>
    </row>
    <row r="64" spans="1:12" s="120" customFormat="1" ht="28.5">
      <c r="A64" s="116"/>
      <c r="B64" s="117"/>
      <c r="C64" s="118">
        <v>4511</v>
      </c>
      <c r="D64" s="149" t="s">
        <v>179</v>
      </c>
      <c r="E64" s="123"/>
      <c r="F64" s="123"/>
      <c r="G64" s="123"/>
      <c r="H64" s="123">
        <f t="shared" si="1"/>
        <v>0</v>
      </c>
      <c r="I64" s="123">
        <f t="shared" si="0"/>
        <v>0</v>
      </c>
      <c r="J64" s="123"/>
      <c r="K64" s="123"/>
      <c r="L64" s="123"/>
    </row>
    <row r="65" spans="1:12" s="127" customFormat="1" ht="28.5">
      <c r="A65" s="116"/>
      <c r="B65" s="117"/>
      <c r="C65" s="118">
        <v>4621</v>
      </c>
      <c r="D65" s="149" t="s">
        <v>180</v>
      </c>
      <c r="E65" s="123"/>
      <c r="F65" s="123"/>
      <c r="G65" s="123"/>
      <c r="H65" s="123">
        <f t="shared" si="1"/>
        <v>0</v>
      </c>
      <c r="I65" s="123">
        <f t="shared" si="0"/>
        <v>0</v>
      </c>
      <c r="J65" s="128"/>
      <c r="K65" s="123"/>
      <c r="L65" s="123"/>
    </row>
    <row r="66" spans="1:12" s="127" customFormat="1" ht="28.5">
      <c r="A66" s="116"/>
      <c r="B66" s="117"/>
      <c r="C66" s="118">
        <v>4631</v>
      </c>
      <c r="D66" s="149" t="s">
        <v>181</v>
      </c>
      <c r="E66" s="123"/>
      <c r="F66" s="123"/>
      <c r="G66" s="123"/>
      <c r="H66" s="123">
        <f t="shared" si="1"/>
        <v>0</v>
      </c>
      <c r="I66" s="123">
        <f t="shared" si="0"/>
        <v>0</v>
      </c>
      <c r="J66" s="128"/>
      <c r="K66" s="123"/>
      <c r="L66" s="123"/>
    </row>
    <row r="67" spans="1:12" s="127" customFormat="1" ht="21.75" customHeight="1">
      <c r="A67" s="116"/>
      <c r="B67" s="117"/>
      <c r="C67" s="118">
        <v>4632</v>
      </c>
      <c r="D67" s="149" t="s">
        <v>182</v>
      </c>
      <c r="E67" s="123"/>
      <c r="F67" s="123"/>
      <c r="G67" s="123"/>
      <c r="H67" s="123">
        <f t="shared" si="1"/>
        <v>0</v>
      </c>
      <c r="I67" s="123">
        <f t="shared" si="0"/>
        <v>0</v>
      </c>
      <c r="J67" s="123"/>
      <c r="K67" s="123"/>
      <c r="L67" s="123"/>
    </row>
    <row r="68" spans="1:12" s="127" customFormat="1" ht="48.75" customHeight="1">
      <c r="A68" s="116"/>
      <c r="B68" s="117"/>
      <c r="C68" s="118" t="s">
        <v>330</v>
      </c>
      <c r="D68" s="149" t="s">
        <v>331</v>
      </c>
      <c r="E68" s="123"/>
      <c r="F68" s="123"/>
      <c r="G68" s="123"/>
      <c r="H68" s="123"/>
      <c r="I68" s="123"/>
      <c r="J68" s="123"/>
      <c r="K68" s="123"/>
      <c r="L68" s="123"/>
    </row>
    <row r="69" spans="1:12" s="127" customFormat="1" ht="42.75">
      <c r="A69" s="116"/>
      <c r="B69" s="117"/>
      <c r="C69" s="118">
        <v>4638</v>
      </c>
      <c r="D69" s="149" t="s">
        <v>332</v>
      </c>
      <c r="E69" s="123"/>
      <c r="F69" s="123"/>
      <c r="G69" s="123"/>
      <c r="H69" s="123">
        <f t="shared" si="1"/>
        <v>0</v>
      </c>
      <c r="I69" s="123">
        <f t="shared" si="0"/>
        <v>0</v>
      </c>
      <c r="J69" s="123"/>
      <c r="K69" s="123"/>
      <c r="L69" s="123"/>
    </row>
    <row r="70" spans="1:12" s="127" customFormat="1" ht="14.25">
      <c r="A70" s="116"/>
      <c r="B70" s="117"/>
      <c r="C70" s="118" t="s">
        <v>183</v>
      </c>
      <c r="D70" s="149" t="s">
        <v>184</v>
      </c>
      <c r="E70" s="123"/>
      <c r="F70" s="123"/>
      <c r="G70" s="123"/>
      <c r="H70" s="123">
        <f t="shared" si="1"/>
        <v>0</v>
      </c>
      <c r="I70" s="123">
        <f t="shared" si="0"/>
        <v>0</v>
      </c>
      <c r="J70" s="123"/>
      <c r="K70" s="123"/>
      <c r="L70" s="123"/>
    </row>
    <row r="71" spans="1:12" s="127" customFormat="1" ht="14.25">
      <c r="A71" s="116"/>
      <c r="B71" s="117"/>
      <c r="C71" s="118">
        <v>4729</v>
      </c>
      <c r="D71" s="106" t="s">
        <v>185</v>
      </c>
      <c r="E71" s="129"/>
      <c r="F71" s="129"/>
      <c r="G71" s="123"/>
      <c r="H71" s="123">
        <f t="shared" si="1"/>
        <v>0</v>
      </c>
      <c r="I71" s="123">
        <f t="shared" si="0"/>
        <v>0</v>
      </c>
      <c r="J71" s="129"/>
      <c r="K71" s="123"/>
      <c r="L71" s="123"/>
    </row>
    <row r="72" spans="1:12" s="127" customFormat="1" ht="14.25">
      <c r="A72" s="116"/>
      <c r="B72" s="117"/>
      <c r="C72" s="118">
        <v>4822</v>
      </c>
      <c r="D72" s="106" t="s">
        <v>186</v>
      </c>
      <c r="E72" s="129"/>
      <c r="F72" s="129"/>
      <c r="G72" s="123"/>
      <c r="H72" s="123">
        <f t="shared" si="1"/>
        <v>0</v>
      </c>
      <c r="I72" s="123">
        <f t="shared" si="0"/>
        <v>0</v>
      </c>
      <c r="J72" s="129"/>
      <c r="K72" s="123"/>
      <c r="L72" s="123"/>
    </row>
    <row r="73" spans="1:12" s="127" customFormat="1" ht="14.25">
      <c r="A73" s="116"/>
      <c r="B73" s="117"/>
      <c r="C73" s="122">
        <v>4823</v>
      </c>
      <c r="D73" s="114" t="s">
        <v>187</v>
      </c>
      <c r="E73" s="115">
        <f>E75+E76+E77</f>
        <v>37.200000000000003</v>
      </c>
      <c r="F73" s="115">
        <f>F75+F76+F77</f>
        <v>113.22</v>
      </c>
      <c r="G73" s="115">
        <f>G75+G76+G77</f>
        <v>113.2</v>
      </c>
      <c r="H73" s="115">
        <f t="shared" si="1"/>
        <v>-1.9999999999996021E-2</v>
      </c>
      <c r="I73" s="115">
        <f t="shared" si="0"/>
        <v>76</v>
      </c>
      <c r="J73" s="115"/>
      <c r="K73" s="115">
        <f>K75+K76+K77</f>
        <v>113.22</v>
      </c>
      <c r="L73" s="115">
        <f>L75+L76+L77</f>
        <v>113.22</v>
      </c>
    </row>
    <row r="74" spans="1:12" s="127" customFormat="1" ht="14.25">
      <c r="A74" s="116"/>
      <c r="B74" s="117"/>
      <c r="C74" s="118"/>
      <c r="D74" s="104" t="s">
        <v>141</v>
      </c>
      <c r="E74" s="129"/>
      <c r="F74" s="129"/>
      <c r="G74" s="123"/>
      <c r="H74" s="123">
        <f t="shared" si="1"/>
        <v>0</v>
      </c>
      <c r="I74" s="123">
        <f t="shared" ref="I74:I80" si="2">G74-E74</f>
        <v>0</v>
      </c>
      <c r="J74" s="129"/>
      <c r="K74" s="123"/>
      <c r="L74" s="123"/>
    </row>
    <row r="75" spans="1:12" s="120" customFormat="1" ht="27.95" customHeight="1">
      <c r="A75" s="116"/>
      <c r="B75" s="117"/>
      <c r="C75" s="118"/>
      <c r="D75" s="104" t="s">
        <v>188</v>
      </c>
      <c r="E75" s="123">
        <v>37.200000000000003</v>
      </c>
      <c r="F75" s="123">
        <v>113.22</v>
      </c>
      <c r="G75" s="123">
        <v>113.2</v>
      </c>
      <c r="H75" s="123">
        <f t="shared" ref="H75:H88" si="3">+G75-F75</f>
        <v>-1.9999999999996021E-2</v>
      </c>
      <c r="I75" s="123">
        <f t="shared" si="2"/>
        <v>76</v>
      </c>
      <c r="J75" s="129"/>
      <c r="K75" s="123">
        <v>113.22</v>
      </c>
      <c r="L75" s="123">
        <v>113.22</v>
      </c>
    </row>
    <row r="76" spans="1:12" ht="14.25">
      <c r="A76" s="116"/>
      <c r="B76" s="117"/>
      <c r="C76" s="118"/>
      <c r="D76" s="104" t="s">
        <v>189</v>
      </c>
      <c r="E76" s="129"/>
      <c r="F76" s="129"/>
      <c r="G76" s="123"/>
      <c r="H76" s="123">
        <f t="shared" si="3"/>
        <v>0</v>
      </c>
      <c r="I76" s="123">
        <f t="shared" si="2"/>
        <v>0</v>
      </c>
      <c r="J76" s="129"/>
      <c r="K76" s="123"/>
      <c r="L76" s="123"/>
    </row>
    <row r="77" spans="1:12" ht="17.25" customHeight="1">
      <c r="A77" s="116"/>
      <c r="B77" s="117"/>
      <c r="C77" s="118"/>
      <c r="D77" s="104" t="s">
        <v>190</v>
      </c>
      <c r="E77" s="129"/>
      <c r="F77" s="129"/>
      <c r="G77" s="123"/>
      <c r="H77" s="123">
        <f t="shared" si="3"/>
        <v>0</v>
      </c>
      <c r="I77" s="123">
        <f t="shared" si="2"/>
        <v>0</v>
      </c>
      <c r="J77" s="129"/>
      <c r="K77" s="123"/>
      <c r="L77" s="123"/>
    </row>
    <row r="78" spans="1:12" ht="42.75">
      <c r="A78" s="116"/>
      <c r="B78" s="117"/>
      <c r="C78" s="118" t="s">
        <v>191</v>
      </c>
      <c r="D78" s="106" t="s">
        <v>192</v>
      </c>
      <c r="E78" s="129"/>
      <c r="F78" s="129"/>
      <c r="G78" s="123"/>
      <c r="H78" s="123">
        <f t="shared" si="3"/>
        <v>0</v>
      </c>
      <c r="I78" s="123">
        <f t="shared" si="2"/>
        <v>0</v>
      </c>
      <c r="J78" s="129"/>
      <c r="K78" s="123"/>
      <c r="L78" s="123"/>
    </row>
    <row r="79" spans="1:12" s="130" customFormat="1" ht="18.75" customHeight="1">
      <c r="A79" s="116"/>
      <c r="B79" s="117"/>
      <c r="C79" s="118">
        <v>4861</v>
      </c>
      <c r="D79" s="106" t="s">
        <v>193</v>
      </c>
      <c r="E79" s="129"/>
      <c r="F79" s="129"/>
      <c r="G79" s="123"/>
      <c r="H79" s="123">
        <f t="shared" si="3"/>
        <v>0</v>
      </c>
      <c r="I79" s="123">
        <f t="shared" si="2"/>
        <v>0</v>
      </c>
      <c r="J79" s="129"/>
      <c r="K79" s="123"/>
      <c r="L79" s="123"/>
    </row>
    <row r="80" spans="1:12" ht="21.75" customHeight="1">
      <c r="A80" s="131"/>
      <c r="B80" s="132"/>
      <c r="C80" s="118">
        <v>4891</v>
      </c>
      <c r="D80" s="106" t="s">
        <v>194</v>
      </c>
      <c r="E80" s="123"/>
      <c r="F80" s="123"/>
      <c r="G80" s="123"/>
      <c r="H80" s="123">
        <f t="shared" si="3"/>
        <v>0</v>
      </c>
      <c r="I80" s="123">
        <f t="shared" si="2"/>
        <v>0</v>
      </c>
      <c r="J80" s="123"/>
      <c r="K80" s="123"/>
      <c r="L80" s="123"/>
    </row>
    <row r="81" spans="1:12" ht="28.5" customHeight="1">
      <c r="D81" s="134"/>
      <c r="E81" s="135"/>
      <c r="F81" s="135"/>
      <c r="G81" s="135"/>
      <c r="H81" s="135"/>
      <c r="I81" s="135"/>
      <c r="J81" s="135"/>
      <c r="K81" s="135"/>
      <c r="L81" s="135"/>
    </row>
    <row r="82" spans="1:12" s="139" customFormat="1" ht="32.25" customHeight="1">
      <c r="A82" s="2031" t="s">
        <v>125</v>
      </c>
      <c r="B82" s="2032"/>
      <c r="C82" s="136"/>
      <c r="D82" s="137" t="s">
        <v>195</v>
      </c>
      <c r="E82" s="138">
        <f>SUM(E84:E88)</f>
        <v>0</v>
      </c>
      <c r="F82" s="138">
        <f>SUM(F84:F88)</f>
        <v>0</v>
      </c>
      <c r="G82" s="138">
        <f>SUM(G84:G88)</f>
        <v>0</v>
      </c>
      <c r="H82" s="138">
        <f>+G82-F82</f>
        <v>0</v>
      </c>
      <c r="I82" s="138">
        <f>G82-E82</f>
        <v>0</v>
      </c>
      <c r="J82" s="138"/>
      <c r="K82" s="138">
        <f>SUM(K84:K88)</f>
        <v>0</v>
      </c>
      <c r="L82" s="138">
        <f>SUM(L84:L88)</f>
        <v>0</v>
      </c>
    </row>
    <row r="83" spans="1:12" s="133" customFormat="1" ht="24" customHeight="1">
      <c r="A83" s="991" t="s">
        <v>127</v>
      </c>
      <c r="B83" s="991" t="s">
        <v>128</v>
      </c>
      <c r="C83" s="140"/>
      <c r="D83" s="111" t="s">
        <v>141</v>
      </c>
      <c r="E83" s="141"/>
      <c r="F83" s="141"/>
      <c r="G83" s="141"/>
      <c r="H83" s="141"/>
      <c r="I83" s="141"/>
      <c r="J83" s="141"/>
      <c r="K83" s="141"/>
      <c r="L83" s="141"/>
    </row>
    <row r="84" spans="1:12" s="145" customFormat="1" ht="15.75" customHeight="1">
      <c r="A84" s="147"/>
      <c r="B84" s="147"/>
      <c r="C84" s="148">
        <v>5121</v>
      </c>
      <c r="D84" s="142" t="s">
        <v>197</v>
      </c>
      <c r="E84" s="144"/>
      <c r="F84" s="144"/>
      <c r="G84" s="143"/>
      <c r="H84" s="143">
        <f t="shared" si="3"/>
        <v>0</v>
      </c>
      <c r="I84" s="143">
        <f>G84-E84</f>
        <v>0</v>
      </c>
      <c r="J84" s="144"/>
      <c r="K84" s="143"/>
      <c r="L84" s="143"/>
    </row>
    <row r="85" spans="1:12" s="145" customFormat="1" ht="14.25">
      <c r="A85" s="116"/>
      <c r="B85" s="116"/>
      <c r="C85" s="148">
        <v>5122</v>
      </c>
      <c r="D85" s="142" t="s">
        <v>198</v>
      </c>
      <c r="E85" s="144"/>
      <c r="F85" s="144"/>
      <c r="G85" s="143"/>
      <c r="H85" s="143">
        <f t="shared" si="3"/>
        <v>0</v>
      </c>
      <c r="I85" s="143">
        <f>G85-E85</f>
        <v>0</v>
      </c>
      <c r="J85" s="144"/>
      <c r="K85" s="143"/>
      <c r="L85" s="143"/>
    </row>
    <row r="86" spans="1:12" s="145" customFormat="1" ht="15.75" customHeight="1">
      <c r="A86" s="116"/>
      <c r="B86" s="116"/>
      <c r="C86" s="148">
        <v>5129</v>
      </c>
      <c r="D86" s="142" t="s">
        <v>88</v>
      </c>
      <c r="E86" s="144"/>
      <c r="F86" s="144"/>
      <c r="G86" s="143"/>
      <c r="H86" s="143">
        <f t="shared" si="3"/>
        <v>0</v>
      </c>
      <c r="I86" s="143">
        <f>G86-E86</f>
        <v>0</v>
      </c>
      <c r="J86" s="144"/>
      <c r="K86" s="143"/>
      <c r="L86" s="143"/>
    </row>
    <row r="87" spans="1:12" s="145" customFormat="1" ht="14.25">
      <c r="A87" s="116"/>
      <c r="B87" s="116"/>
      <c r="C87" s="148">
        <v>5131</v>
      </c>
      <c r="D87" s="142" t="s">
        <v>335</v>
      </c>
      <c r="E87" s="144"/>
      <c r="F87" s="144"/>
      <c r="G87" s="143"/>
      <c r="H87" s="143">
        <f>+G87-F87</f>
        <v>0</v>
      </c>
      <c r="I87" s="143">
        <f>G87-E87</f>
        <v>0</v>
      </c>
      <c r="J87" s="144"/>
      <c r="K87" s="143"/>
      <c r="L87" s="143"/>
    </row>
    <row r="88" spans="1:12" s="145" customFormat="1" ht="14.25">
      <c r="A88" s="131"/>
      <c r="B88" s="131"/>
      <c r="C88" s="148">
        <v>5132</v>
      </c>
      <c r="D88" s="142" t="s">
        <v>199</v>
      </c>
      <c r="E88" s="144"/>
      <c r="F88" s="144"/>
      <c r="G88" s="143"/>
      <c r="H88" s="143">
        <f t="shared" si="3"/>
        <v>0</v>
      </c>
      <c r="I88" s="143">
        <f>G88-E88</f>
        <v>0</v>
      </c>
      <c r="J88" s="144"/>
      <c r="K88" s="143"/>
      <c r="L88" s="143"/>
    </row>
  </sheetData>
  <mergeCells count="11">
    <mergeCell ref="A82:B82"/>
    <mergeCell ref="A10:A18"/>
    <mergeCell ref="B10:B12"/>
    <mergeCell ref="B13:B14"/>
    <mergeCell ref="B15:B16"/>
    <mergeCell ref="B17:B18"/>
    <mergeCell ref="A2:H2"/>
    <mergeCell ref="D3:I3"/>
    <mergeCell ref="A6:B6"/>
    <mergeCell ref="A7:B7"/>
    <mergeCell ref="C7:D7"/>
  </mergeCells>
  <conditionalFormatting sqref="C8:D8">
    <cfRule type="cellIs" dxfId="3" priority="2" stopIfTrue="1" operator="equal">
      <formula>0</formula>
    </cfRule>
  </conditionalFormatting>
  <conditionalFormatting sqref="D14:D15">
    <cfRule type="cellIs" dxfId="2" priority="1" stopIfTrue="1" operator="equal">
      <formula>0</formula>
    </cfRule>
  </conditionalFormatting>
  <pageMargins left="0.7" right="0.7" top="0.75" bottom="0.75" header="0.3" footer="0.3"/>
  <pageSetup paperSize="9" orientation="portrait" verticalDpi="0" r:id="rId1"/>
  <ignoredErrors>
    <ignoredError sqref="B3:B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89"/>
  <sheetViews>
    <sheetView topLeftCell="D64" zoomScaleNormal="100" workbookViewId="0">
      <selection activeCell="I11" sqref="I11"/>
    </sheetView>
  </sheetViews>
  <sheetFormatPr defaultRowHeight="13.5"/>
  <cols>
    <col min="1" max="1" width="9.140625" style="1623"/>
    <col min="2" max="2" width="12.28515625" style="1623" customWidth="1"/>
    <col min="3" max="3" width="6.7109375" style="1622" customWidth="1"/>
    <col min="4" max="4" width="45.5703125" style="1621" customWidth="1"/>
    <col min="5" max="6" width="11.7109375" style="1616" customWidth="1"/>
    <col min="7" max="7" width="11" style="1616" customWidth="1"/>
    <col min="8" max="8" width="12.5703125" style="1616" customWidth="1"/>
    <col min="9" max="9" width="14.7109375" style="1616" customWidth="1"/>
    <col min="10" max="10" width="51.5703125" style="1616" customWidth="1"/>
    <col min="11" max="12" width="11" style="1616" customWidth="1"/>
    <col min="13" max="16384" width="9.140625" style="1615"/>
  </cols>
  <sheetData>
    <row r="1" spans="1:12" ht="21.75" customHeight="1">
      <c r="A1" s="1618"/>
      <c r="B1" s="1618"/>
      <c r="J1" s="1700" t="s">
        <v>120</v>
      </c>
    </row>
    <row r="2" spans="1:12" s="1618" customFormat="1" ht="25.5" customHeight="1" thickBot="1">
      <c r="A2" s="2039" t="s">
        <v>337</v>
      </c>
      <c r="B2" s="2039"/>
      <c r="C2" s="2039"/>
      <c r="D2" s="2039"/>
      <c r="E2" s="2039"/>
      <c r="F2" s="2039"/>
      <c r="G2" s="2039"/>
      <c r="H2" s="2039"/>
      <c r="I2" s="1689"/>
      <c r="J2" s="1700" t="s">
        <v>121</v>
      </c>
      <c r="K2" s="1620"/>
      <c r="L2" s="1620"/>
    </row>
    <row r="3" spans="1:12" s="1694" customFormat="1" ht="16.5">
      <c r="A3" s="1699" t="s">
        <v>10</v>
      </c>
      <c r="B3" s="1698" t="s">
        <v>13</v>
      </c>
      <c r="C3" s="1697"/>
      <c r="D3" s="2041"/>
      <c r="E3" s="2041"/>
      <c r="F3" s="2041"/>
      <c r="G3" s="2041"/>
      <c r="H3" s="2041"/>
      <c r="I3" s="2041"/>
      <c r="J3" s="1696"/>
    </row>
    <row r="4" spans="1:12" s="1694" customFormat="1" ht="16.5">
      <c r="A4" s="1693" t="s">
        <v>122</v>
      </c>
      <c r="B4" s="1692" t="s">
        <v>14</v>
      </c>
      <c r="C4" s="1697"/>
      <c r="D4" s="1695"/>
      <c r="E4" s="1695"/>
      <c r="F4" s="1695"/>
      <c r="G4" s="1695"/>
      <c r="H4" s="1695"/>
      <c r="I4" s="1695"/>
      <c r="J4" s="1696"/>
      <c r="K4" s="1695"/>
      <c r="L4" s="1695"/>
    </row>
    <row r="5" spans="1:12" s="1618" customFormat="1" ht="14.25">
      <c r="A5" s="1693" t="s">
        <v>123</v>
      </c>
      <c r="B5" s="1692" t="s">
        <v>15</v>
      </c>
      <c r="C5" s="1691"/>
      <c r="D5" s="1690"/>
      <c r="E5" s="1689"/>
      <c r="F5" s="1689"/>
      <c r="G5" s="1689"/>
      <c r="H5" s="1689"/>
      <c r="I5" s="1689"/>
      <c r="J5" s="1689"/>
      <c r="K5" s="1689"/>
      <c r="L5" s="1689"/>
    </row>
    <row r="6" spans="1:12" s="1622" customFormat="1">
      <c r="A6" s="2048"/>
      <c r="B6" s="2048"/>
      <c r="C6" s="1688"/>
      <c r="D6" s="1687"/>
      <c r="E6" s="1686"/>
      <c r="F6" s="1686"/>
      <c r="H6" s="1619" t="s">
        <v>124</v>
      </c>
      <c r="I6" s="1685"/>
    </row>
    <row r="7" spans="1:12" s="1622" customFormat="1" ht="13.5" customHeight="1">
      <c r="A7" s="2040" t="s">
        <v>125</v>
      </c>
      <c r="B7" s="2040"/>
      <c r="C7" s="2046"/>
      <c r="D7" s="2047"/>
      <c r="E7" s="1684" t="s">
        <v>0</v>
      </c>
      <c r="F7" s="1684" t="s">
        <v>1</v>
      </c>
      <c r="G7" s="1682" t="s">
        <v>2</v>
      </c>
      <c r="H7" s="1683"/>
      <c r="I7" s="1683"/>
      <c r="J7" s="1679"/>
      <c r="K7" s="1682" t="s">
        <v>3</v>
      </c>
      <c r="L7" s="1682" t="s">
        <v>207</v>
      </c>
    </row>
    <row r="8" spans="1:12" s="1622" customFormat="1" ht="63.75">
      <c r="A8" s="1681" t="s">
        <v>127</v>
      </c>
      <c r="B8" s="1681" t="s">
        <v>128</v>
      </c>
      <c r="C8" s="95" t="s">
        <v>129</v>
      </c>
      <c r="D8" s="95" t="s">
        <v>130</v>
      </c>
      <c r="E8" s="1679" t="s">
        <v>131</v>
      </c>
      <c r="F8" s="1680" t="s">
        <v>132</v>
      </c>
      <c r="G8" s="1679" t="s">
        <v>133</v>
      </c>
      <c r="H8" s="1679" t="s">
        <v>319</v>
      </c>
      <c r="I8" s="1679" t="s">
        <v>320</v>
      </c>
      <c r="J8" s="1679" t="s">
        <v>134</v>
      </c>
      <c r="K8" s="1679" t="s">
        <v>133</v>
      </c>
      <c r="L8" s="1679" t="s">
        <v>133</v>
      </c>
    </row>
    <row r="9" spans="1:12" s="1659" customFormat="1">
      <c r="A9" s="1678">
        <v>1</v>
      </c>
      <c r="B9" s="1678">
        <v>2</v>
      </c>
      <c r="C9" s="1677">
        <v>3</v>
      </c>
      <c r="D9" s="1677">
        <v>4</v>
      </c>
      <c r="E9" s="1677">
        <v>5</v>
      </c>
      <c r="F9" s="1677">
        <v>6</v>
      </c>
      <c r="G9" s="1677">
        <v>7</v>
      </c>
      <c r="H9" s="1677">
        <v>8</v>
      </c>
      <c r="I9" s="1677">
        <v>9</v>
      </c>
      <c r="J9" s="1677">
        <v>10</v>
      </c>
      <c r="K9" s="1677">
        <v>7</v>
      </c>
      <c r="L9" s="1677">
        <v>7</v>
      </c>
    </row>
    <row r="10" spans="1:12" s="1661" customFormat="1" ht="14.25" customHeight="1">
      <c r="A10" s="2042" t="s">
        <v>135</v>
      </c>
      <c r="B10" s="2044">
        <v>11001</v>
      </c>
      <c r="C10" s="1669"/>
      <c r="D10" s="1657" t="s">
        <v>136</v>
      </c>
      <c r="E10" s="1617">
        <v>55</v>
      </c>
      <c r="F10" s="1617">
        <v>53</v>
      </c>
      <c r="G10" s="1617">
        <v>53</v>
      </c>
      <c r="H10" s="1617">
        <f>+G10-F10</f>
        <v>0</v>
      </c>
      <c r="I10" s="1617">
        <f>G10-E10</f>
        <v>-2</v>
      </c>
      <c r="J10" s="1617"/>
      <c r="K10" s="1617">
        <v>53</v>
      </c>
      <c r="L10" s="1617">
        <v>53</v>
      </c>
    </row>
    <row r="11" spans="1:12" s="1661" customFormat="1" ht="13.5" customHeight="1">
      <c r="A11" s="2043"/>
      <c r="B11" s="2045"/>
      <c r="C11" s="1676"/>
      <c r="D11" s="1651"/>
      <c r="E11" s="1660"/>
      <c r="F11" s="1660"/>
      <c r="G11" s="1660"/>
      <c r="H11" s="1660">
        <f>+G11-F11</f>
        <v>0</v>
      </c>
      <c r="I11" s="1660">
        <f>G11-E11</f>
        <v>0</v>
      </c>
      <c r="J11" s="1660"/>
      <c r="K11" s="1660"/>
      <c r="L11" s="1660"/>
    </row>
    <row r="12" spans="1:12" s="1661" customFormat="1" ht="14.25" customHeight="1">
      <c r="A12" s="2043"/>
      <c r="B12" s="2045"/>
      <c r="C12" s="1676"/>
      <c r="D12" s="1645" t="s">
        <v>137</v>
      </c>
      <c r="E12" s="1660">
        <v>1</v>
      </c>
      <c r="F12" s="1660">
        <v>1</v>
      </c>
      <c r="G12" s="1660">
        <v>1</v>
      </c>
      <c r="H12" s="1660">
        <f>+G12-F12</f>
        <v>0</v>
      </c>
      <c r="I12" s="1660">
        <f>G12-E12</f>
        <v>0</v>
      </c>
      <c r="J12" s="1660"/>
      <c r="K12" s="1660">
        <v>1</v>
      </c>
      <c r="L12" s="1660">
        <v>1</v>
      </c>
    </row>
    <row r="13" spans="1:12" s="1675" customFormat="1" ht="14.25" customHeight="1">
      <c r="A13" s="2043"/>
      <c r="B13" s="2045"/>
      <c r="C13" s="1669"/>
      <c r="D13" s="1658"/>
      <c r="E13" s="1617"/>
      <c r="F13" s="1617"/>
      <c r="G13" s="1617"/>
      <c r="H13" s="1617">
        <f>+G13-F13</f>
        <v>0</v>
      </c>
      <c r="I13" s="1617">
        <f>G13-E13</f>
        <v>0</v>
      </c>
      <c r="J13" s="1617"/>
      <c r="K13" s="1617"/>
      <c r="L13" s="1617"/>
    </row>
    <row r="14" spans="1:12" s="1659" customFormat="1" ht="14.25" customHeight="1">
      <c r="A14" s="2043"/>
      <c r="B14" s="2045"/>
      <c r="C14" s="107"/>
      <c r="D14" s="1674" t="s">
        <v>138</v>
      </c>
      <c r="E14" s="1671">
        <f>+E16+E82</f>
        <v>171869</v>
      </c>
      <c r="F14" s="1671">
        <f>+F16+F82</f>
        <v>254784.92296160001</v>
      </c>
      <c r="G14" s="1671">
        <f>+G16+G82</f>
        <v>255191.03976159997</v>
      </c>
      <c r="H14" s="1671">
        <f>+G14-F14</f>
        <v>406.11679999995977</v>
      </c>
      <c r="I14" s="1671">
        <f>G14-E14</f>
        <v>83322.039761599968</v>
      </c>
      <c r="J14" s="1671"/>
      <c r="K14" s="1671">
        <f>+K16+K82</f>
        <v>256800.76655616</v>
      </c>
      <c r="L14" s="1671">
        <f>+L16+L82</f>
        <v>258580.52296159993</v>
      </c>
    </row>
    <row r="15" spans="1:12" s="1659" customFormat="1" ht="14.25" customHeight="1">
      <c r="A15" s="2043"/>
      <c r="B15" s="2045"/>
      <c r="C15" s="110"/>
      <c r="D15" s="1636" t="s">
        <v>139</v>
      </c>
      <c r="E15" s="1660"/>
      <c r="F15" s="1660"/>
      <c r="G15" s="1660"/>
      <c r="H15" s="1671"/>
      <c r="I15" s="1671"/>
      <c r="J15" s="1660"/>
      <c r="K15" s="1660"/>
      <c r="L15" s="1660"/>
    </row>
    <row r="16" spans="1:12" s="1659" customFormat="1" ht="14.25" customHeight="1">
      <c r="A16" s="2043"/>
      <c r="B16" s="2045"/>
      <c r="C16" s="1673"/>
      <c r="D16" s="1672" t="s">
        <v>140</v>
      </c>
      <c r="E16" s="1671">
        <f>E18+SUM(E24:E80)-E24-E29-E37-E51-E55-E73</f>
        <v>170293.1</v>
      </c>
      <c r="F16" s="1671">
        <f>F18+SUM(F24:F80)-F24-F29-F37-F51-F55-F73</f>
        <v>251232.12296160002</v>
      </c>
      <c r="G16" s="1671">
        <f>G18+SUM(G24:G80)-G24-G29-G37-G51-G55-G73</f>
        <v>255191.03976159997</v>
      </c>
      <c r="H16" s="1671">
        <f t="shared" ref="H16:H47" si="0">+G16-F16</f>
        <v>3958.9167999999481</v>
      </c>
      <c r="I16" s="1671">
        <f t="shared" ref="I16:I47" si="1">G16-E16</f>
        <v>84897.939761599962</v>
      </c>
      <c r="J16" s="1671"/>
      <c r="K16" s="1671">
        <f>K18+SUM(K24:K80)-K24-K29-K37-K51-K55-K73</f>
        <v>256800.76655616</v>
      </c>
      <c r="L16" s="1671">
        <f>L18+SUM(L24:L80)-L24-L29-L37-L51-L55-L73</f>
        <v>258580.52296159993</v>
      </c>
    </row>
    <row r="17" spans="1:15" s="1659" customFormat="1" ht="13.5" customHeight="1">
      <c r="A17" s="2043"/>
      <c r="B17" s="2045"/>
      <c r="C17" s="1669"/>
      <c r="D17" s="1651" t="s">
        <v>141</v>
      </c>
      <c r="E17" s="1617"/>
      <c r="F17" s="1617"/>
      <c r="G17" s="1660"/>
      <c r="H17" s="1660">
        <f t="shared" si="0"/>
        <v>0</v>
      </c>
      <c r="I17" s="1660">
        <f t="shared" si="1"/>
        <v>0</v>
      </c>
      <c r="J17" s="1617"/>
      <c r="K17" s="1660"/>
      <c r="L17" s="1660"/>
    </row>
    <row r="18" spans="1:15" s="1659" customFormat="1" ht="14.25">
      <c r="A18" s="2043"/>
      <c r="B18" s="2045"/>
      <c r="C18" s="1670"/>
      <c r="D18" s="1655" t="s">
        <v>142</v>
      </c>
      <c r="E18" s="1654">
        <f>SUM(E20:E23)</f>
        <v>164393.80000000002</v>
      </c>
      <c r="F18" s="1654">
        <f>SUM(F20:F23)</f>
        <v>226118.7</v>
      </c>
      <c r="G18" s="1654">
        <f>SUM(G20:G23)</f>
        <v>230077.61680000002</v>
      </c>
      <c r="H18" s="1654">
        <f t="shared" si="0"/>
        <v>3958.9168000000063</v>
      </c>
      <c r="I18" s="1654">
        <f t="shared" si="1"/>
        <v>65683.816800000001</v>
      </c>
      <c r="J18" s="1654"/>
      <c r="K18" s="1654">
        <f>SUM(K20:K23)</f>
        <v>233467.1</v>
      </c>
      <c r="L18" s="1654">
        <f>SUM(L20:L23)</f>
        <v>233467.1</v>
      </c>
    </row>
    <row r="19" spans="1:15" s="1659" customFormat="1">
      <c r="A19" s="1630"/>
      <c r="B19" s="1650"/>
      <c r="C19" s="1669"/>
      <c r="D19" s="1651" t="s">
        <v>141</v>
      </c>
      <c r="E19" s="1617"/>
      <c r="F19" s="1617"/>
      <c r="G19" s="1660"/>
      <c r="H19" s="1660">
        <f t="shared" si="0"/>
        <v>0</v>
      </c>
      <c r="I19" s="1617">
        <f t="shared" si="1"/>
        <v>0</v>
      </c>
      <c r="J19" s="1617"/>
      <c r="K19" s="1660"/>
      <c r="L19" s="1660"/>
    </row>
    <row r="20" spans="1:15" s="1659" customFormat="1" ht="46.5" customHeight="1">
      <c r="A20" s="1630"/>
      <c r="B20" s="1650"/>
      <c r="C20" s="1646" t="s">
        <v>143</v>
      </c>
      <c r="D20" s="1668" t="s">
        <v>144</v>
      </c>
      <c r="E20" s="1617">
        <v>118127.5</v>
      </c>
      <c r="F20" s="1617">
        <v>175870.1</v>
      </c>
      <c r="G20" s="1617">
        <v>178508.2</v>
      </c>
      <c r="H20" s="1617">
        <f t="shared" si="0"/>
        <v>2638.1000000000058</v>
      </c>
      <c r="I20" s="1617">
        <f t="shared" si="1"/>
        <v>60380.700000000012</v>
      </c>
      <c r="J20" s="1617" t="s">
        <v>338</v>
      </c>
      <c r="K20" s="1617">
        <v>181185.8</v>
      </c>
      <c r="L20" s="1617">
        <v>181185.8</v>
      </c>
    </row>
    <row r="21" spans="1:15" s="1652" customFormat="1" ht="28.5">
      <c r="A21" s="1630"/>
      <c r="B21" s="1650"/>
      <c r="C21" s="1646" t="s">
        <v>145</v>
      </c>
      <c r="D21" s="1665" t="s">
        <v>146</v>
      </c>
      <c r="E21" s="1617">
        <v>43060.2</v>
      </c>
      <c r="F21" s="1617">
        <v>38862.6</v>
      </c>
      <c r="G21" s="1617">
        <v>38862.6</v>
      </c>
      <c r="H21" s="1617">
        <f t="shared" si="0"/>
        <v>0</v>
      </c>
      <c r="I21" s="1617">
        <f t="shared" si="1"/>
        <v>-4197.5999999999985</v>
      </c>
      <c r="J21" s="1617"/>
      <c r="K21" s="1617">
        <v>38862.6</v>
      </c>
      <c r="L21" s="1617">
        <v>38862.6</v>
      </c>
      <c r="O21" s="1667"/>
    </row>
    <row r="22" spans="1:15" s="1652" customFormat="1" ht="28.5">
      <c r="A22" s="1630"/>
      <c r="B22" s="1650"/>
      <c r="C22" s="1646" t="s">
        <v>147</v>
      </c>
      <c r="D22" s="1665" t="s">
        <v>148</v>
      </c>
      <c r="E22" s="1617">
        <v>3206.1</v>
      </c>
      <c r="F22" s="1617">
        <v>11386</v>
      </c>
      <c r="G22" s="1617">
        <f>((('[5]16հաստիքացուցակ'!K108-'[5]16հաստիքացուցակ'!K106)*12)*10%)/1000</f>
        <v>12706.816800000001</v>
      </c>
      <c r="H22" s="1617">
        <f t="shared" si="0"/>
        <v>1320.8168000000005</v>
      </c>
      <c r="I22" s="1617">
        <f t="shared" si="1"/>
        <v>9500.7168000000001</v>
      </c>
      <c r="J22" s="1617" t="s">
        <v>339</v>
      </c>
      <c r="K22" s="1617">
        <v>13418.7</v>
      </c>
      <c r="L22" s="1617">
        <v>13418.7</v>
      </c>
    </row>
    <row r="23" spans="1:15" s="1652" customFormat="1" ht="28.5">
      <c r="A23" s="1630"/>
      <c r="B23" s="1650"/>
      <c r="C23" s="1666" t="s">
        <v>323</v>
      </c>
      <c r="D23" s="1665" t="s">
        <v>324</v>
      </c>
      <c r="E23" s="1664"/>
      <c r="F23" s="1664"/>
      <c r="G23" s="1664"/>
      <c r="H23" s="1664">
        <f t="shared" si="0"/>
        <v>0</v>
      </c>
      <c r="I23" s="1664">
        <f t="shared" si="1"/>
        <v>0</v>
      </c>
      <c r="J23" s="1664"/>
      <c r="K23" s="1664"/>
      <c r="L23" s="1664"/>
    </row>
    <row r="24" spans="1:15" s="1652" customFormat="1" ht="14.25">
      <c r="A24" s="1630"/>
      <c r="B24" s="1650"/>
      <c r="C24" s="1656">
        <v>4212</v>
      </c>
      <c r="D24" s="1655" t="s">
        <v>149</v>
      </c>
      <c r="E24" s="1654">
        <f>E26+E27+E28</f>
        <v>0</v>
      </c>
      <c r="F24" s="1654">
        <f>F26+F27+F28</f>
        <v>7395.3561135999998</v>
      </c>
      <c r="G24" s="1654">
        <f>G26+G27+G28</f>
        <v>7395.3561135999998</v>
      </c>
      <c r="H24" s="1654">
        <f t="shared" si="0"/>
        <v>0</v>
      </c>
      <c r="I24" s="1654">
        <f t="shared" si="1"/>
        <v>7395.3561135999998</v>
      </c>
      <c r="J24" s="1654"/>
      <c r="K24" s="1654">
        <f>K26+K27+K28</f>
        <v>5615.5997081599999</v>
      </c>
      <c r="L24" s="1654">
        <f>L26+L27+L28</f>
        <v>7395.3561135999998</v>
      </c>
    </row>
    <row r="25" spans="1:15" s="1652" customFormat="1">
      <c r="A25" s="1630"/>
      <c r="B25" s="1650"/>
      <c r="C25" s="1646"/>
      <c r="D25" s="1651" t="s">
        <v>141</v>
      </c>
      <c r="E25" s="1644"/>
      <c r="F25" s="1644"/>
      <c r="G25" s="1644"/>
      <c r="H25" s="1644">
        <f t="shared" si="0"/>
        <v>0</v>
      </c>
      <c r="I25" s="1644">
        <f t="shared" si="1"/>
        <v>0</v>
      </c>
      <c r="J25" s="1644"/>
      <c r="K25" s="1644"/>
      <c r="L25" s="1644"/>
    </row>
    <row r="26" spans="1:15" s="1652" customFormat="1">
      <c r="A26" s="1630"/>
      <c r="B26" s="1650"/>
      <c r="C26" s="1646"/>
      <c r="D26" s="1651" t="s">
        <v>149</v>
      </c>
      <c r="E26" s="1644">
        <v>0</v>
      </c>
      <c r="F26" s="1644">
        <v>2807.7998540799999</v>
      </c>
      <c r="G26" s="1644">
        <f>'[5]7-էլ-էներգիա'!I19</f>
        <v>2807.7998540799999</v>
      </c>
      <c r="H26" s="1644">
        <f t="shared" si="0"/>
        <v>0</v>
      </c>
      <c r="I26" s="1644">
        <f t="shared" si="1"/>
        <v>2807.7998540799999</v>
      </c>
      <c r="J26" s="1644"/>
      <c r="K26" s="1644">
        <f>'[5]7-էլ-էներգիա'!I19</f>
        <v>2807.7998540799999</v>
      </c>
      <c r="L26" s="1644">
        <f>'[5]7-էլ-էներգիա'!I19</f>
        <v>2807.7998540799999</v>
      </c>
    </row>
    <row r="27" spans="1:15" s="1652" customFormat="1">
      <c r="A27" s="1630"/>
      <c r="B27" s="1650"/>
      <c r="C27" s="1646"/>
      <c r="D27" s="1651" t="s">
        <v>150</v>
      </c>
      <c r="E27" s="1644">
        <v>0</v>
      </c>
      <c r="F27" s="1644">
        <v>4587.5562595199999</v>
      </c>
      <c r="G27" s="1644">
        <f>'[5]8-էլ-էներգիա-ջեռուցում'!H14</f>
        <v>4587.5562595199999</v>
      </c>
      <c r="H27" s="1644">
        <f t="shared" si="0"/>
        <v>0</v>
      </c>
      <c r="I27" s="1644">
        <f t="shared" si="1"/>
        <v>4587.5562595199999</v>
      </c>
      <c r="J27" s="1644"/>
      <c r="K27" s="1644">
        <f>'[5]7-էլ-էներգիա'!I19</f>
        <v>2807.7998540799999</v>
      </c>
      <c r="L27" s="1644">
        <f>'[5]8-էլ-էներգիա-ջեռուցում'!H14</f>
        <v>4587.5562595199999</v>
      </c>
    </row>
    <row r="28" spans="1:15" s="1652" customFormat="1">
      <c r="A28" s="1630"/>
      <c r="B28" s="1650"/>
      <c r="C28" s="1646"/>
      <c r="D28" s="1651" t="s">
        <v>151</v>
      </c>
      <c r="E28" s="1644"/>
      <c r="F28" s="1644"/>
      <c r="G28" s="1644"/>
      <c r="H28" s="1644">
        <f t="shared" si="0"/>
        <v>0</v>
      </c>
      <c r="I28" s="1644">
        <f t="shared" si="1"/>
        <v>0</v>
      </c>
      <c r="J28" s="1644"/>
      <c r="K28" s="1644"/>
      <c r="L28" s="1644"/>
    </row>
    <row r="29" spans="1:15" s="1652" customFormat="1" ht="14.25">
      <c r="A29" s="1630"/>
      <c r="B29" s="1650"/>
      <c r="C29" s="1656">
        <v>4213</v>
      </c>
      <c r="D29" s="1655" t="s">
        <v>152</v>
      </c>
      <c r="E29" s="1654">
        <f>E31+E32</f>
        <v>0</v>
      </c>
      <c r="F29" s="1654">
        <f>F31+F32</f>
        <v>78.400000000000006</v>
      </c>
      <c r="G29" s="1654">
        <f>G31+G32</f>
        <v>78.400000000000006</v>
      </c>
      <c r="H29" s="1654">
        <f t="shared" si="0"/>
        <v>0</v>
      </c>
      <c r="I29" s="1654">
        <f t="shared" si="1"/>
        <v>78.400000000000006</v>
      </c>
      <c r="J29" s="1654"/>
      <c r="K29" s="1654">
        <f>K31+K32</f>
        <v>78.400000000000006</v>
      </c>
      <c r="L29" s="1654">
        <f>L31+L32</f>
        <v>78.400000000000006</v>
      </c>
    </row>
    <row r="30" spans="1:15" s="1652" customFormat="1">
      <c r="A30" s="1630"/>
      <c r="B30" s="1650"/>
      <c r="C30" s="1646"/>
      <c r="D30" s="1651" t="s">
        <v>141</v>
      </c>
      <c r="E30" s="1644"/>
      <c r="F30" s="1644"/>
      <c r="G30" s="1644"/>
      <c r="H30" s="1644">
        <f t="shared" si="0"/>
        <v>0</v>
      </c>
      <c r="I30" s="1644">
        <f t="shared" si="1"/>
        <v>0</v>
      </c>
      <c r="J30" s="1644"/>
      <c r="K30" s="1644"/>
      <c r="L30" s="1644"/>
    </row>
    <row r="31" spans="1:15" s="1652" customFormat="1" ht="27">
      <c r="A31" s="1630"/>
      <c r="B31" s="1650"/>
      <c r="C31" s="1646"/>
      <c r="D31" s="1663" t="s">
        <v>153</v>
      </c>
      <c r="E31" s="1644">
        <v>0</v>
      </c>
      <c r="F31" s="1644">
        <v>78.400000000000006</v>
      </c>
      <c r="G31" s="1644">
        <v>78.400000000000006</v>
      </c>
      <c r="H31" s="1644">
        <f t="shared" si="0"/>
        <v>0</v>
      </c>
      <c r="I31" s="1644">
        <f t="shared" si="1"/>
        <v>78.400000000000006</v>
      </c>
      <c r="J31" s="1644"/>
      <c r="K31" s="1644">
        <v>78.400000000000006</v>
      </c>
      <c r="L31" s="1644">
        <v>78.400000000000006</v>
      </c>
    </row>
    <row r="32" spans="1:15" s="1652" customFormat="1" ht="27">
      <c r="A32" s="1630"/>
      <c r="B32" s="1650"/>
      <c r="C32" s="1646"/>
      <c r="D32" s="1663" t="s">
        <v>154</v>
      </c>
      <c r="E32" s="1644"/>
      <c r="F32" s="1644"/>
      <c r="G32" s="1644"/>
      <c r="H32" s="1644">
        <f t="shared" si="0"/>
        <v>0</v>
      </c>
      <c r="I32" s="1644">
        <f t="shared" si="1"/>
        <v>0</v>
      </c>
      <c r="J32" s="1644"/>
      <c r="K32" s="1644"/>
      <c r="L32" s="1644"/>
    </row>
    <row r="33" spans="1:12" s="1652" customFormat="1" ht="14.25">
      <c r="A33" s="1630"/>
      <c r="B33" s="1650"/>
      <c r="C33" s="1646">
        <v>4214</v>
      </c>
      <c r="D33" s="1662" t="s">
        <v>155</v>
      </c>
      <c r="E33" s="1644">
        <v>360</v>
      </c>
      <c r="F33" s="1644">
        <v>4057.6668479999998</v>
      </c>
      <c r="G33" s="1644">
        <f>'[5]4-ԿԱՊ'!P40</f>
        <v>4057.6668479999998</v>
      </c>
      <c r="H33" s="1644">
        <f t="shared" si="0"/>
        <v>0</v>
      </c>
      <c r="I33" s="1644">
        <f t="shared" si="1"/>
        <v>3697.6668479999998</v>
      </c>
      <c r="J33" s="1644"/>
      <c r="K33" s="1644">
        <f>'[5]4-ԿԱՊ'!P40</f>
        <v>4057.6668479999998</v>
      </c>
      <c r="L33" s="1644">
        <f>'[5]4-ԿԱՊ'!P40</f>
        <v>4057.6668479999998</v>
      </c>
    </row>
    <row r="34" spans="1:12" s="1659" customFormat="1" ht="23.25" customHeight="1">
      <c r="A34" s="1630"/>
      <c r="B34" s="1650"/>
      <c r="C34" s="1646">
        <v>4215</v>
      </c>
      <c r="D34" s="1662" t="s">
        <v>156</v>
      </c>
      <c r="E34" s="1644">
        <v>27</v>
      </c>
      <c r="F34" s="1644">
        <v>40</v>
      </c>
      <c r="G34" s="1644">
        <v>40</v>
      </c>
      <c r="H34" s="1644">
        <f t="shared" si="0"/>
        <v>0</v>
      </c>
      <c r="I34" s="1644">
        <f t="shared" si="1"/>
        <v>13</v>
      </c>
      <c r="J34" s="1644"/>
      <c r="K34" s="1644">
        <v>40</v>
      </c>
      <c r="L34" s="1644">
        <v>40</v>
      </c>
    </row>
    <row r="35" spans="1:12" s="1661" customFormat="1" ht="14.25">
      <c r="A35" s="1630"/>
      <c r="B35" s="1650"/>
      <c r="C35" s="1646">
        <v>4216</v>
      </c>
      <c r="D35" s="1662" t="s">
        <v>157</v>
      </c>
      <c r="E35" s="1644"/>
      <c r="F35" s="1644"/>
      <c r="G35" s="1644"/>
      <c r="H35" s="1644">
        <f t="shared" si="0"/>
        <v>0</v>
      </c>
      <c r="I35" s="1644">
        <f t="shared" si="1"/>
        <v>0</v>
      </c>
      <c r="J35" s="1644"/>
      <c r="K35" s="1644"/>
      <c r="L35" s="1644"/>
    </row>
    <row r="36" spans="1:12" s="1661" customFormat="1" ht="14.25">
      <c r="A36" s="1630"/>
      <c r="B36" s="1650"/>
      <c r="C36" s="1646">
        <v>4217</v>
      </c>
      <c r="D36" s="1662" t="s">
        <v>158</v>
      </c>
      <c r="E36" s="1644"/>
      <c r="F36" s="1644"/>
      <c r="G36" s="1644"/>
      <c r="H36" s="1644">
        <f t="shared" si="0"/>
        <v>0</v>
      </c>
      <c r="I36" s="1644">
        <f t="shared" si="1"/>
        <v>0</v>
      </c>
      <c r="J36" s="1644"/>
      <c r="K36" s="1644"/>
      <c r="L36" s="1644"/>
    </row>
    <row r="37" spans="1:12" s="1661" customFormat="1" ht="14.25">
      <c r="A37" s="1630"/>
      <c r="B37" s="1650"/>
      <c r="C37" s="1656"/>
      <c r="D37" s="1655" t="s">
        <v>159</v>
      </c>
      <c r="E37" s="1654">
        <f>E39+E40</f>
        <v>1808.8</v>
      </c>
      <c r="F37" s="1654">
        <f>F39+F40</f>
        <v>7238</v>
      </c>
      <c r="G37" s="1654">
        <f>G39+G40</f>
        <v>7238</v>
      </c>
      <c r="H37" s="1654">
        <f t="shared" si="0"/>
        <v>0</v>
      </c>
      <c r="I37" s="1654">
        <f t="shared" si="1"/>
        <v>5429.2</v>
      </c>
      <c r="J37" s="1654"/>
      <c r="K37" s="1654">
        <f>K39+K40</f>
        <v>7238</v>
      </c>
      <c r="L37" s="1654">
        <f>L39+L40</f>
        <v>7238</v>
      </c>
    </row>
    <row r="38" spans="1:12" s="1661" customFormat="1">
      <c r="A38" s="1630"/>
      <c r="B38" s="1650"/>
      <c r="C38" s="1646"/>
      <c r="D38" s="1651" t="s">
        <v>141</v>
      </c>
      <c r="E38" s="1660"/>
      <c r="F38" s="1660"/>
      <c r="G38" s="1660"/>
      <c r="H38" s="1660">
        <f t="shared" si="0"/>
        <v>0</v>
      </c>
      <c r="I38" s="1660">
        <f t="shared" si="1"/>
        <v>0</v>
      </c>
      <c r="J38" s="1660"/>
      <c r="K38" s="1660"/>
      <c r="L38" s="1660"/>
    </row>
    <row r="39" spans="1:12" s="1661" customFormat="1">
      <c r="A39" s="1630"/>
      <c r="B39" s="1650"/>
      <c r="C39" s="1646">
        <v>4221</v>
      </c>
      <c r="D39" s="1651" t="s">
        <v>160</v>
      </c>
      <c r="E39" s="1660">
        <v>1808.8</v>
      </c>
      <c r="F39" s="1660">
        <f>'[5]10-գործուղում'!L24</f>
        <v>7238</v>
      </c>
      <c r="G39" s="1660">
        <f>'[5]10-գործուղում'!S24</f>
        <v>7238</v>
      </c>
      <c r="H39" s="1660">
        <f t="shared" si="0"/>
        <v>0</v>
      </c>
      <c r="I39" s="1660">
        <f t="shared" si="1"/>
        <v>5429.2</v>
      </c>
      <c r="J39" s="1660"/>
      <c r="K39" s="1660">
        <v>7238</v>
      </c>
      <c r="L39" s="1660">
        <v>7238</v>
      </c>
    </row>
    <row r="40" spans="1:12" s="1661" customFormat="1">
      <c r="A40" s="1630"/>
      <c r="B40" s="1650"/>
      <c r="C40" s="1646">
        <v>4222</v>
      </c>
      <c r="D40" s="1651" t="s">
        <v>161</v>
      </c>
      <c r="E40" s="1660"/>
      <c r="F40" s="1660"/>
      <c r="G40" s="1660"/>
      <c r="H40" s="1660">
        <f t="shared" si="0"/>
        <v>0</v>
      </c>
      <c r="I40" s="1660">
        <f t="shared" si="1"/>
        <v>0</v>
      </c>
      <c r="J40" s="1660"/>
      <c r="K40" s="1660"/>
      <c r="L40" s="1660"/>
    </row>
    <row r="41" spans="1:12" s="1652" customFormat="1" ht="14.25">
      <c r="A41" s="1630"/>
      <c r="B41" s="1650"/>
      <c r="C41" s="1646">
        <v>4231</v>
      </c>
      <c r="D41" s="1645" t="s">
        <v>162</v>
      </c>
      <c r="E41" s="1660"/>
      <c r="F41" s="1660"/>
      <c r="G41" s="1660"/>
      <c r="H41" s="1660">
        <f t="shared" si="0"/>
        <v>0</v>
      </c>
      <c r="I41" s="1660">
        <f t="shared" si="1"/>
        <v>0</v>
      </c>
      <c r="J41" s="1660"/>
      <c r="K41" s="1660"/>
      <c r="L41" s="1660"/>
    </row>
    <row r="42" spans="1:12" s="1652" customFormat="1" ht="108">
      <c r="A42" s="1630"/>
      <c r="B42" s="1650"/>
      <c r="C42" s="1646">
        <v>4232</v>
      </c>
      <c r="D42" s="1645" t="s">
        <v>163</v>
      </c>
      <c r="E42" s="1660">
        <v>922.5</v>
      </c>
      <c r="F42" s="1660">
        <v>1484</v>
      </c>
      <c r="G42" s="1660">
        <v>1484</v>
      </c>
      <c r="H42" s="1660">
        <f t="shared" si="0"/>
        <v>0</v>
      </c>
      <c r="I42" s="1660">
        <f t="shared" si="1"/>
        <v>561.5</v>
      </c>
      <c r="J42" s="976" t="s">
        <v>340</v>
      </c>
      <c r="K42" s="1660">
        <v>1484</v>
      </c>
      <c r="L42" s="1660">
        <v>1484</v>
      </c>
    </row>
    <row r="43" spans="1:12" s="1652" customFormat="1" ht="28.5">
      <c r="A43" s="1630"/>
      <c r="B43" s="1650"/>
      <c r="C43" s="1646">
        <v>4233</v>
      </c>
      <c r="D43" s="1645" t="s">
        <v>164</v>
      </c>
      <c r="E43" s="1660"/>
      <c r="F43" s="1660"/>
      <c r="G43" s="1660"/>
      <c r="H43" s="1660">
        <f t="shared" si="0"/>
        <v>0</v>
      </c>
      <c r="I43" s="1660">
        <f t="shared" si="1"/>
        <v>0</v>
      </c>
      <c r="J43" s="126"/>
      <c r="K43" s="1660"/>
      <c r="L43" s="1660"/>
    </row>
    <row r="44" spans="1:12" s="1652" customFormat="1" ht="14.25">
      <c r="A44" s="1630"/>
      <c r="B44" s="1650"/>
      <c r="C44" s="1646">
        <v>4234</v>
      </c>
      <c r="D44" s="1645" t="s">
        <v>165</v>
      </c>
      <c r="E44" s="1644">
        <v>271.8</v>
      </c>
      <c r="F44" s="1644">
        <v>1000</v>
      </c>
      <c r="G44" s="1644">
        <v>1000</v>
      </c>
      <c r="H44" s="1644">
        <f t="shared" si="0"/>
        <v>0</v>
      </c>
      <c r="I44" s="1644">
        <f t="shared" si="1"/>
        <v>728.2</v>
      </c>
      <c r="J44" s="1644"/>
      <c r="K44" s="1644">
        <v>1000</v>
      </c>
      <c r="L44" s="1644">
        <v>1000</v>
      </c>
    </row>
    <row r="45" spans="1:12" s="1659" customFormat="1" ht="14.25">
      <c r="A45" s="1630"/>
      <c r="B45" s="1650"/>
      <c r="C45" s="1646">
        <v>4235</v>
      </c>
      <c r="D45" s="1645" t="s">
        <v>166</v>
      </c>
      <c r="E45" s="1644"/>
      <c r="F45" s="1644"/>
      <c r="G45" s="1644"/>
      <c r="H45" s="1644">
        <f t="shared" si="0"/>
        <v>0</v>
      </c>
      <c r="I45" s="1644">
        <f t="shared" si="1"/>
        <v>0</v>
      </c>
      <c r="J45" s="1644"/>
      <c r="K45" s="1644"/>
      <c r="L45" s="1644"/>
    </row>
    <row r="46" spans="1:12" s="1652" customFormat="1" ht="28.5">
      <c r="A46" s="1630"/>
      <c r="B46" s="1650"/>
      <c r="C46" s="1646">
        <v>4236</v>
      </c>
      <c r="D46" s="1645" t="s">
        <v>167</v>
      </c>
      <c r="E46" s="1644"/>
      <c r="F46" s="1644"/>
      <c r="G46" s="1644"/>
      <c r="H46" s="1644">
        <f t="shared" si="0"/>
        <v>0</v>
      </c>
      <c r="I46" s="1644">
        <f t="shared" si="1"/>
        <v>0</v>
      </c>
      <c r="J46" s="1644"/>
      <c r="K46" s="1644"/>
      <c r="L46" s="1644"/>
    </row>
    <row r="47" spans="1:12" s="1659" customFormat="1" ht="14.25">
      <c r="A47" s="1630"/>
      <c r="B47" s="1650"/>
      <c r="C47" s="1646">
        <v>4237</v>
      </c>
      <c r="D47" s="1645" t="s">
        <v>168</v>
      </c>
      <c r="E47" s="1644">
        <v>0</v>
      </c>
      <c r="F47" s="1644">
        <v>300</v>
      </c>
      <c r="G47" s="1644">
        <v>300</v>
      </c>
      <c r="H47" s="1644">
        <f t="shared" si="0"/>
        <v>0</v>
      </c>
      <c r="I47" s="1644">
        <f t="shared" si="1"/>
        <v>300</v>
      </c>
      <c r="J47" s="1644"/>
      <c r="K47" s="1644">
        <v>300</v>
      </c>
      <c r="L47" s="1644">
        <v>300</v>
      </c>
    </row>
    <row r="48" spans="1:12" s="1659" customFormat="1" ht="14.25">
      <c r="A48" s="1630"/>
      <c r="B48" s="1650"/>
      <c r="C48" s="1646">
        <v>4239</v>
      </c>
      <c r="D48" s="1657" t="s">
        <v>169</v>
      </c>
      <c r="E48" s="1617">
        <v>0</v>
      </c>
      <c r="F48" s="1617">
        <v>700</v>
      </c>
      <c r="G48" s="1617">
        <v>700</v>
      </c>
      <c r="H48" s="1617">
        <f t="shared" ref="H48:H67" si="2">+G48-F48</f>
        <v>0</v>
      </c>
      <c r="I48" s="1617">
        <f t="shared" ref="I48:I67" si="3">G48-E48</f>
        <v>700</v>
      </c>
      <c r="J48" s="1617"/>
      <c r="K48" s="1617">
        <v>700</v>
      </c>
      <c r="L48" s="1617">
        <v>700</v>
      </c>
    </row>
    <row r="49" spans="1:12" s="1659" customFormat="1" ht="14.25">
      <c r="A49" s="1630"/>
      <c r="B49" s="1650"/>
      <c r="C49" s="1646">
        <v>4241</v>
      </c>
      <c r="D49" s="1645" t="s">
        <v>170</v>
      </c>
      <c r="E49" s="1644"/>
      <c r="F49" s="1644"/>
      <c r="G49" s="1644"/>
      <c r="H49" s="1644">
        <f t="shared" si="2"/>
        <v>0</v>
      </c>
      <c r="I49" s="1644">
        <f t="shared" si="3"/>
        <v>0</v>
      </c>
      <c r="J49" s="1644"/>
      <c r="K49" s="1644"/>
      <c r="L49" s="1644"/>
    </row>
    <row r="50" spans="1:12" s="1659" customFormat="1" ht="28.5">
      <c r="A50" s="1630"/>
      <c r="B50" s="1650"/>
      <c r="C50" s="1646">
        <v>4251</v>
      </c>
      <c r="D50" s="1657" t="s">
        <v>79</v>
      </c>
      <c r="E50" s="1617"/>
      <c r="F50" s="1617"/>
      <c r="G50" s="1617"/>
      <c r="H50" s="1617">
        <f t="shared" si="2"/>
        <v>0</v>
      </c>
      <c r="I50" s="1617">
        <f t="shared" si="3"/>
        <v>0</v>
      </c>
      <c r="J50" s="1617"/>
      <c r="K50" s="1617"/>
      <c r="L50" s="1617"/>
    </row>
    <row r="51" spans="1:12" s="1659" customFormat="1" ht="28.5">
      <c r="A51" s="1630"/>
      <c r="B51" s="1650"/>
      <c r="C51" s="1656">
        <v>4252</v>
      </c>
      <c r="D51" s="1655" t="s">
        <v>80</v>
      </c>
      <c r="E51" s="1654">
        <f>E53+E54</f>
        <v>171</v>
      </c>
      <c r="F51" s="1654">
        <f>F53+F54</f>
        <v>1025</v>
      </c>
      <c r="G51" s="1654">
        <f>G53+G54</f>
        <v>1025</v>
      </c>
      <c r="H51" s="1654">
        <f t="shared" si="2"/>
        <v>0</v>
      </c>
      <c r="I51" s="1654">
        <f t="shared" si="3"/>
        <v>854</v>
      </c>
      <c r="J51" s="1654"/>
      <c r="K51" s="1654">
        <f>K53+K54</f>
        <v>1025</v>
      </c>
      <c r="L51" s="1654">
        <f>L53+L54</f>
        <v>1025</v>
      </c>
    </row>
    <row r="52" spans="1:12" s="1659" customFormat="1">
      <c r="A52" s="1630"/>
      <c r="B52" s="1650"/>
      <c r="C52" s="1646"/>
      <c r="D52" s="1651" t="s">
        <v>141</v>
      </c>
      <c r="E52" s="1617"/>
      <c r="F52" s="1617"/>
      <c r="G52" s="1617"/>
      <c r="H52" s="1617">
        <f t="shared" si="2"/>
        <v>0</v>
      </c>
      <c r="I52" s="1617">
        <f t="shared" si="3"/>
        <v>0</v>
      </c>
      <c r="J52" s="1617"/>
      <c r="K52" s="1617"/>
      <c r="L52" s="1617"/>
    </row>
    <row r="53" spans="1:12" s="1652" customFormat="1" ht="27">
      <c r="A53" s="1630"/>
      <c r="B53" s="1650"/>
      <c r="C53" s="1646"/>
      <c r="D53" s="1658" t="s">
        <v>171</v>
      </c>
      <c r="E53" s="1617">
        <v>171</v>
      </c>
      <c r="F53" s="1617">
        <v>350</v>
      </c>
      <c r="G53" s="1617">
        <v>350</v>
      </c>
      <c r="H53" s="1617">
        <f t="shared" si="2"/>
        <v>0</v>
      </c>
      <c r="I53" s="1617">
        <f t="shared" si="3"/>
        <v>179</v>
      </c>
      <c r="J53" s="1617"/>
      <c r="K53" s="1617">
        <v>350</v>
      </c>
      <c r="L53" s="1617">
        <v>350</v>
      </c>
    </row>
    <row r="54" spans="1:12" s="1652" customFormat="1" ht="27">
      <c r="A54" s="1630"/>
      <c r="B54" s="1650"/>
      <c r="C54" s="1646"/>
      <c r="D54" s="1658" t="s">
        <v>172</v>
      </c>
      <c r="E54" s="1617">
        <v>0</v>
      </c>
      <c r="F54" s="1617">
        <v>675</v>
      </c>
      <c r="G54" s="1617">
        <v>675</v>
      </c>
      <c r="H54" s="1617">
        <f t="shared" si="2"/>
        <v>0</v>
      </c>
      <c r="I54" s="1617">
        <f t="shared" si="3"/>
        <v>675</v>
      </c>
      <c r="J54" s="1617"/>
      <c r="K54" s="1617">
        <v>675</v>
      </c>
      <c r="L54" s="1617">
        <v>675</v>
      </c>
    </row>
    <row r="55" spans="1:12" s="1652" customFormat="1" ht="14.25">
      <c r="A55" s="1630"/>
      <c r="B55" s="1650"/>
      <c r="C55" s="1656">
        <v>4261</v>
      </c>
      <c r="D55" s="1655" t="s">
        <v>173</v>
      </c>
      <c r="E55" s="1654">
        <f>E57+E58</f>
        <v>1126.2</v>
      </c>
      <c r="F55" s="1654">
        <f>F57+F58</f>
        <v>715</v>
      </c>
      <c r="G55" s="1654">
        <f>G57+G58</f>
        <v>715</v>
      </c>
      <c r="H55" s="1654">
        <f t="shared" si="2"/>
        <v>0</v>
      </c>
      <c r="I55" s="1654">
        <f t="shared" si="3"/>
        <v>-411.20000000000005</v>
      </c>
      <c r="J55" s="1654"/>
      <c r="K55" s="1654">
        <f>K57+K58</f>
        <v>715</v>
      </c>
      <c r="L55" s="1654">
        <f>L57+L58</f>
        <v>715</v>
      </c>
    </row>
    <row r="56" spans="1:12" s="1652" customFormat="1">
      <c r="A56" s="1630"/>
      <c r="B56" s="1650"/>
      <c r="C56" s="1646"/>
      <c r="D56" s="1651" t="s">
        <v>141</v>
      </c>
      <c r="E56" s="1644"/>
      <c r="F56" s="1644"/>
      <c r="G56" s="1644"/>
      <c r="H56" s="1644">
        <f t="shared" si="2"/>
        <v>0</v>
      </c>
      <c r="I56" s="1644">
        <f t="shared" si="3"/>
        <v>0</v>
      </c>
      <c r="J56" s="1644"/>
      <c r="K56" s="1644"/>
      <c r="L56" s="1644"/>
    </row>
    <row r="57" spans="1:12" s="1652" customFormat="1">
      <c r="A57" s="1630"/>
      <c r="B57" s="1650"/>
      <c r="C57" s="1646"/>
      <c r="D57" s="1651" t="s">
        <v>174</v>
      </c>
      <c r="E57" s="1644">
        <v>1126.2</v>
      </c>
      <c r="F57" s="1644">
        <v>715</v>
      </c>
      <c r="G57" s="1644">
        <v>715</v>
      </c>
      <c r="H57" s="1644">
        <f t="shared" si="2"/>
        <v>0</v>
      </c>
      <c r="I57" s="1644">
        <f t="shared" si="3"/>
        <v>-411.20000000000005</v>
      </c>
      <c r="J57" s="1644"/>
      <c r="K57" s="1644">
        <v>715</v>
      </c>
      <c r="L57" s="1644">
        <v>715</v>
      </c>
    </row>
    <row r="58" spans="1:12" s="1652" customFormat="1">
      <c r="A58" s="1630"/>
      <c r="B58" s="1650"/>
      <c r="C58" s="1646"/>
      <c r="D58" s="1651" t="s">
        <v>175</v>
      </c>
      <c r="E58" s="1644"/>
      <c r="F58" s="1644"/>
      <c r="G58" s="1644"/>
      <c r="H58" s="1644">
        <f t="shared" si="2"/>
        <v>0</v>
      </c>
      <c r="I58" s="1644">
        <f t="shared" si="3"/>
        <v>0</v>
      </c>
      <c r="J58" s="1644"/>
      <c r="K58" s="1644"/>
      <c r="L58" s="1644"/>
    </row>
    <row r="59" spans="1:12" s="1652" customFormat="1" ht="14.25">
      <c r="A59" s="1630"/>
      <c r="B59" s="1650"/>
      <c r="C59" s="1646">
        <v>4262</v>
      </c>
      <c r="D59" s="1645" t="s">
        <v>176</v>
      </c>
      <c r="E59" s="1644"/>
      <c r="F59" s="1644"/>
      <c r="G59" s="1644"/>
      <c r="H59" s="1644">
        <f t="shared" si="2"/>
        <v>0</v>
      </c>
      <c r="I59" s="1644">
        <f t="shared" si="3"/>
        <v>0</v>
      </c>
      <c r="J59" s="1644"/>
      <c r="K59" s="1644"/>
      <c r="L59" s="1644"/>
    </row>
    <row r="60" spans="1:12" s="1652" customFormat="1" ht="14.25">
      <c r="A60" s="1630"/>
      <c r="B60" s="1650"/>
      <c r="C60" s="1646">
        <v>4264</v>
      </c>
      <c r="D60" s="1645" t="s">
        <v>81</v>
      </c>
      <c r="E60" s="1644">
        <v>1200</v>
      </c>
      <c r="F60" s="1644">
        <v>1007.5</v>
      </c>
      <c r="G60" s="1644">
        <v>1007.5</v>
      </c>
      <c r="H60" s="1644">
        <f t="shared" si="2"/>
        <v>0</v>
      </c>
      <c r="I60" s="1644">
        <f t="shared" si="3"/>
        <v>-192.5</v>
      </c>
      <c r="J60" s="1644"/>
      <c r="K60" s="1644">
        <v>1007.5</v>
      </c>
      <c r="L60" s="1644">
        <v>1007.5</v>
      </c>
    </row>
    <row r="61" spans="1:12" s="1652" customFormat="1" ht="22.5" customHeight="1">
      <c r="A61" s="1630"/>
      <c r="B61" s="1650"/>
      <c r="C61" s="1646">
        <v>4266</v>
      </c>
      <c r="D61" s="1645" t="s">
        <v>177</v>
      </c>
      <c r="E61" s="1644"/>
      <c r="F61" s="1644"/>
      <c r="G61" s="1644"/>
      <c r="H61" s="1644">
        <f t="shared" si="2"/>
        <v>0</v>
      </c>
      <c r="I61" s="1644">
        <f t="shared" si="3"/>
        <v>0</v>
      </c>
      <c r="J61" s="1644"/>
      <c r="K61" s="1644"/>
      <c r="L61" s="1644"/>
    </row>
    <row r="62" spans="1:12" s="1652" customFormat="1" ht="14.25">
      <c r="A62" s="1630"/>
      <c r="B62" s="1650"/>
      <c r="C62" s="1646">
        <v>4267</v>
      </c>
      <c r="D62" s="1645" t="s">
        <v>178</v>
      </c>
      <c r="E62" s="1644"/>
      <c r="F62" s="1644"/>
      <c r="G62" s="1644"/>
      <c r="H62" s="1644">
        <f t="shared" si="2"/>
        <v>0</v>
      </c>
      <c r="I62" s="1644">
        <f t="shared" si="3"/>
        <v>0</v>
      </c>
      <c r="J62" s="1644"/>
      <c r="K62" s="1644"/>
      <c r="L62" s="1644"/>
    </row>
    <row r="63" spans="1:12" s="1652" customFormat="1" ht="14.25">
      <c r="A63" s="1630"/>
      <c r="B63" s="1650"/>
      <c r="C63" s="1646">
        <v>4269</v>
      </c>
      <c r="D63" s="1645" t="s">
        <v>82</v>
      </c>
      <c r="E63" s="1644"/>
      <c r="F63" s="1644"/>
      <c r="G63" s="1644"/>
      <c r="H63" s="1644">
        <f t="shared" si="2"/>
        <v>0</v>
      </c>
      <c r="I63" s="1644">
        <f t="shared" si="3"/>
        <v>0</v>
      </c>
      <c r="J63" s="1644"/>
      <c r="K63" s="1644"/>
      <c r="L63" s="1644"/>
    </row>
    <row r="64" spans="1:12" s="1652" customFormat="1" ht="28.5">
      <c r="A64" s="1630"/>
      <c r="B64" s="1650"/>
      <c r="C64" s="1646">
        <v>4511</v>
      </c>
      <c r="D64" s="1657" t="s">
        <v>179</v>
      </c>
      <c r="E64" s="1644"/>
      <c r="F64" s="1644"/>
      <c r="G64" s="1644"/>
      <c r="H64" s="1644">
        <f t="shared" si="2"/>
        <v>0</v>
      </c>
      <c r="I64" s="1644">
        <f t="shared" si="3"/>
        <v>0</v>
      </c>
      <c r="J64" s="1644"/>
      <c r="K64" s="1644"/>
      <c r="L64" s="1644"/>
    </row>
    <row r="65" spans="1:12" s="1653" customFormat="1" ht="28.5">
      <c r="A65" s="1630"/>
      <c r="B65" s="1650"/>
      <c r="C65" s="1646">
        <v>4621</v>
      </c>
      <c r="D65" s="1657" t="s">
        <v>180</v>
      </c>
      <c r="E65" s="1644"/>
      <c r="F65" s="1644"/>
      <c r="G65" s="1644"/>
      <c r="H65" s="1644">
        <f t="shared" si="2"/>
        <v>0</v>
      </c>
      <c r="I65" s="1644">
        <f t="shared" si="3"/>
        <v>0</v>
      </c>
      <c r="J65" s="128"/>
      <c r="K65" s="1644"/>
      <c r="L65" s="1644"/>
    </row>
    <row r="66" spans="1:12" s="1653" customFormat="1" ht="28.5">
      <c r="A66" s="1630"/>
      <c r="B66" s="1650"/>
      <c r="C66" s="1646">
        <v>4631</v>
      </c>
      <c r="D66" s="1657" t="s">
        <v>181</v>
      </c>
      <c r="E66" s="1644"/>
      <c r="F66" s="1644"/>
      <c r="G66" s="1644"/>
      <c r="H66" s="1644">
        <f t="shared" si="2"/>
        <v>0</v>
      </c>
      <c r="I66" s="1644">
        <f t="shared" si="3"/>
        <v>0</v>
      </c>
      <c r="J66" s="128"/>
      <c r="K66" s="1644"/>
      <c r="L66" s="1644"/>
    </row>
    <row r="67" spans="1:12" s="1653" customFormat="1" ht="21.75" customHeight="1">
      <c r="A67" s="1630"/>
      <c r="B67" s="1650"/>
      <c r="C67" s="1646">
        <v>4632</v>
      </c>
      <c r="D67" s="1657" t="s">
        <v>182</v>
      </c>
      <c r="E67" s="1644"/>
      <c r="F67" s="1644"/>
      <c r="G67" s="1644"/>
      <c r="H67" s="1644">
        <f t="shared" si="2"/>
        <v>0</v>
      </c>
      <c r="I67" s="1644">
        <f t="shared" si="3"/>
        <v>0</v>
      </c>
      <c r="J67" s="1644"/>
      <c r="K67" s="1644"/>
      <c r="L67" s="1644"/>
    </row>
    <row r="68" spans="1:12" s="1653" customFormat="1" ht="42" customHeight="1">
      <c r="A68" s="1630"/>
      <c r="B68" s="1650"/>
      <c r="C68" s="1646" t="s">
        <v>330</v>
      </c>
      <c r="D68" s="1657" t="s">
        <v>331</v>
      </c>
      <c r="E68" s="1644"/>
      <c r="F68" s="1644"/>
      <c r="G68" s="1644"/>
      <c r="H68" s="1644"/>
      <c r="I68" s="1644"/>
      <c r="J68" s="1644"/>
      <c r="K68" s="1644"/>
      <c r="L68" s="1644"/>
    </row>
    <row r="69" spans="1:12" s="1653" customFormat="1" ht="48.75" customHeight="1">
      <c r="A69" s="1630"/>
      <c r="B69" s="1650"/>
      <c r="C69" s="1646">
        <v>4638</v>
      </c>
      <c r="D69" s="1657" t="s">
        <v>332</v>
      </c>
      <c r="E69" s="1644"/>
      <c r="F69" s="1644"/>
      <c r="G69" s="1644"/>
      <c r="H69" s="1644">
        <f t="shared" ref="H69:H80" si="4">+G69-F69</f>
        <v>0</v>
      </c>
      <c r="I69" s="1644">
        <f t="shared" ref="I69:I80" si="5">G69-E69</f>
        <v>0</v>
      </c>
      <c r="J69" s="1644"/>
      <c r="K69" s="1644"/>
      <c r="L69" s="1644"/>
    </row>
    <row r="70" spans="1:12" s="1653" customFormat="1" ht="14.25">
      <c r="A70" s="1630"/>
      <c r="B70" s="1650"/>
      <c r="C70" s="1646" t="s">
        <v>183</v>
      </c>
      <c r="D70" s="1657" t="s">
        <v>184</v>
      </c>
      <c r="E70" s="1644"/>
      <c r="F70" s="1644"/>
      <c r="G70" s="1644"/>
      <c r="H70" s="1644">
        <f t="shared" si="4"/>
        <v>0</v>
      </c>
      <c r="I70" s="1644">
        <f t="shared" si="5"/>
        <v>0</v>
      </c>
      <c r="J70" s="1644"/>
      <c r="K70" s="1644"/>
      <c r="L70" s="1644"/>
    </row>
    <row r="71" spans="1:12" s="1653" customFormat="1" ht="14.25">
      <c r="A71" s="1630"/>
      <c r="B71" s="1650"/>
      <c r="C71" s="1646">
        <v>4729</v>
      </c>
      <c r="D71" s="1645" t="s">
        <v>185</v>
      </c>
      <c r="E71" s="1649"/>
      <c r="F71" s="1649"/>
      <c r="G71" s="1644"/>
      <c r="H71" s="1644">
        <f t="shared" si="4"/>
        <v>0</v>
      </c>
      <c r="I71" s="1644">
        <f t="shared" si="5"/>
        <v>0</v>
      </c>
      <c r="J71" s="1649"/>
      <c r="K71" s="1644"/>
      <c r="L71" s="1644"/>
    </row>
    <row r="72" spans="1:12" s="1653" customFormat="1" ht="14.25">
      <c r="A72" s="1630"/>
      <c r="B72" s="1650"/>
      <c r="C72" s="1646">
        <v>4822</v>
      </c>
      <c r="D72" s="1645" t="s">
        <v>186</v>
      </c>
      <c r="E72" s="1649"/>
      <c r="F72" s="1649"/>
      <c r="G72" s="1644"/>
      <c r="H72" s="1644">
        <f t="shared" si="4"/>
        <v>0</v>
      </c>
      <c r="I72" s="1644">
        <f t="shared" si="5"/>
        <v>0</v>
      </c>
      <c r="J72" s="1649"/>
      <c r="K72" s="1644"/>
      <c r="L72" s="1644"/>
    </row>
    <row r="73" spans="1:12" s="1653" customFormat="1" ht="14.25">
      <c r="A73" s="1630"/>
      <c r="B73" s="1650"/>
      <c r="C73" s="1656">
        <v>4823</v>
      </c>
      <c r="D73" s="1655" t="s">
        <v>187</v>
      </c>
      <c r="E73" s="1654">
        <f>E75+E76+E77</f>
        <v>12</v>
      </c>
      <c r="F73" s="1654">
        <f>F75+F76+F77</f>
        <v>72.5</v>
      </c>
      <c r="G73" s="1654">
        <f>G75+G76+G77</f>
        <v>72.5</v>
      </c>
      <c r="H73" s="1654">
        <f t="shared" si="4"/>
        <v>0</v>
      </c>
      <c r="I73" s="1654">
        <f t="shared" si="5"/>
        <v>60.5</v>
      </c>
      <c r="J73" s="1654"/>
      <c r="K73" s="1654">
        <f>K75+K76+K77</f>
        <v>72.5</v>
      </c>
      <c r="L73" s="1654">
        <f>L75+L76+L77</f>
        <v>72.5</v>
      </c>
    </row>
    <row r="74" spans="1:12" s="1653" customFormat="1" ht="14.25">
      <c r="A74" s="1630"/>
      <c r="B74" s="1650"/>
      <c r="C74" s="1646"/>
      <c r="D74" s="1651" t="s">
        <v>141</v>
      </c>
      <c r="E74" s="1649"/>
      <c r="F74" s="1649"/>
      <c r="G74" s="1644"/>
      <c r="H74" s="1644">
        <f t="shared" si="4"/>
        <v>0</v>
      </c>
      <c r="I74" s="1644">
        <f t="shared" si="5"/>
        <v>0</v>
      </c>
      <c r="J74" s="1649"/>
      <c r="K74" s="1644"/>
      <c r="L74" s="1644"/>
    </row>
    <row r="75" spans="1:12" s="1652" customFormat="1" ht="27">
      <c r="A75" s="1630"/>
      <c r="B75" s="1650"/>
      <c r="C75" s="1646"/>
      <c r="D75" s="1651" t="s">
        <v>188</v>
      </c>
      <c r="E75" s="1649">
        <v>12</v>
      </c>
      <c r="F75" s="1649">
        <v>22.5</v>
      </c>
      <c r="G75" s="1644">
        <v>22.5</v>
      </c>
      <c r="H75" s="1644">
        <f t="shared" si="4"/>
        <v>0</v>
      </c>
      <c r="I75" s="1644">
        <f t="shared" si="5"/>
        <v>10.5</v>
      </c>
      <c r="J75" s="1649"/>
      <c r="K75" s="1649">
        <v>22.5</v>
      </c>
      <c r="L75" s="1649">
        <v>22.5</v>
      </c>
    </row>
    <row r="76" spans="1:12" ht="27.95" customHeight="1">
      <c r="A76" s="1630"/>
      <c r="B76" s="1650"/>
      <c r="C76" s="1646"/>
      <c r="D76" s="1651" t="s">
        <v>189</v>
      </c>
      <c r="E76" s="1649"/>
      <c r="F76" s="1649"/>
      <c r="G76" s="1644"/>
      <c r="H76" s="1644">
        <f t="shared" si="4"/>
        <v>0</v>
      </c>
      <c r="I76" s="1644">
        <f t="shared" si="5"/>
        <v>0</v>
      </c>
      <c r="J76" s="1649"/>
      <c r="K76" s="1649"/>
      <c r="L76" s="1649"/>
    </row>
    <row r="77" spans="1:12" ht="14.25">
      <c r="A77" s="1630"/>
      <c r="B77" s="1650"/>
      <c r="C77" s="1646"/>
      <c r="D77" s="1651" t="s">
        <v>190</v>
      </c>
      <c r="E77" s="1649">
        <v>0</v>
      </c>
      <c r="F77" s="1649">
        <v>50</v>
      </c>
      <c r="G77" s="1644">
        <v>50</v>
      </c>
      <c r="H77" s="1644">
        <f t="shared" si="4"/>
        <v>0</v>
      </c>
      <c r="I77" s="1644">
        <f t="shared" si="5"/>
        <v>50</v>
      </c>
      <c r="J77" s="1649"/>
      <c r="K77" s="1649">
        <v>50</v>
      </c>
      <c r="L77" s="1649">
        <v>50</v>
      </c>
    </row>
    <row r="78" spans="1:12" ht="31.5" customHeight="1">
      <c r="A78" s="1630"/>
      <c r="B78" s="1650"/>
      <c r="C78" s="1646" t="s">
        <v>191</v>
      </c>
      <c r="D78" s="1645" t="s">
        <v>192</v>
      </c>
      <c r="E78" s="1649"/>
      <c r="F78" s="1649"/>
      <c r="G78" s="1644"/>
      <c r="H78" s="1644">
        <f t="shared" si="4"/>
        <v>0</v>
      </c>
      <c r="I78" s="1644">
        <f t="shared" si="5"/>
        <v>0</v>
      </c>
      <c r="J78" s="1649"/>
      <c r="K78" s="1644"/>
      <c r="L78" s="1644"/>
    </row>
    <row r="79" spans="1:12" s="1648" customFormat="1" ht="14.25">
      <c r="A79" s="1630"/>
      <c r="B79" s="1650"/>
      <c r="C79" s="1646">
        <v>4861</v>
      </c>
      <c r="D79" s="1645" t="s">
        <v>193</v>
      </c>
      <c r="E79" s="1649"/>
      <c r="F79" s="1649"/>
      <c r="G79" s="1644"/>
      <c r="H79" s="1644">
        <f t="shared" si="4"/>
        <v>0</v>
      </c>
      <c r="I79" s="1644">
        <f t="shared" si="5"/>
        <v>0</v>
      </c>
      <c r="J79" s="1649"/>
      <c r="K79" s="1644"/>
      <c r="L79" s="1644"/>
    </row>
    <row r="80" spans="1:12" ht="14.25">
      <c r="A80" s="1629"/>
      <c r="B80" s="1647"/>
      <c r="C80" s="1646">
        <v>4891</v>
      </c>
      <c r="D80" s="1645" t="s">
        <v>194</v>
      </c>
      <c r="E80" s="1644"/>
      <c r="F80" s="1644"/>
      <c r="G80" s="1644"/>
      <c r="H80" s="1644">
        <f t="shared" si="4"/>
        <v>0</v>
      </c>
      <c r="I80" s="1644">
        <f t="shared" si="5"/>
        <v>0</v>
      </c>
      <c r="J80" s="1644"/>
      <c r="K80" s="1644"/>
      <c r="L80" s="1644"/>
    </row>
    <row r="81" spans="1:12" ht="9.9499999999999993" customHeight="1">
      <c r="D81" s="1643"/>
      <c r="E81" s="1642"/>
      <c r="F81" s="1642"/>
      <c r="G81" s="1642"/>
      <c r="H81" s="1642"/>
      <c r="I81" s="1642"/>
      <c r="J81" s="1642"/>
      <c r="K81" s="1642"/>
      <c r="L81" s="1642"/>
    </row>
    <row r="82" spans="1:12" s="1638" customFormat="1" ht="28.5">
      <c r="A82" s="2040" t="s">
        <v>125</v>
      </c>
      <c r="B82" s="2040"/>
      <c r="C82" s="1641"/>
      <c r="D82" s="1640" t="s">
        <v>195</v>
      </c>
      <c r="E82" s="1639">
        <f>SUM(E85:E89)</f>
        <v>1575.9</v>
      </c>
      <c r="F82" s="1639">
        <f>SUM(F85:F89)</f>
        <v>3552.8</v>
      </c>
      <c r="G82" s="1639">
        <f>SUM(G85:G89)</f>
        <v>0</v>
      </c>
      <c r="H82" s="1639">
        <f>+G82-F82</f>
        <v>-3552.8</v>
      </c>
      <c r="I82" s="1639">
        <f>G82-E82</f>
        <v>-1575.9</v>
      </c>
      <c r="J82" s="1639"/>
      <c r="K82" s="1639">
        <f>SUM(K85:K89)</f>
        <v>0</v>
      </c>
      <c r="L82" s="1639">
        <f>SUM(L85:L89)</f>
        <v>0</v>
      </c>
    </row>
    <row r="83" spans="1:12" s="1623" customFormat="1" ht="23.25" customHeight="1">
      <c r="A83" s="1637" t="s">
        <v>127</v>
      </c>
      <c r="B83" s="1637" t="s">
        <v>128</v>
      </c>
      <c r="C83" s="1634"/>
      <c r="D83" s="1636" t="s">
        <v>141</v>
      </c>
      <c r="E83" s="1633"/>
      <c r="F83" s="1633"/>
      <c r="G83" s="1633"/>
      <c r="H83" s="1633"/>
      <c r="I83" s="1633"/>
      <c r="J83" s="1633"/>
      <c r="K83" s="1633"/>
      <c r="L83" s="1633"/>
    </row>
    <row r="84" spans="1:12" s="1623" customFormat="1" ht="41.25" customHeight="1">
      <c r="A84" s="1635">
        <v>1173</v>
      </c>
      <c r="B84" s="1635">
        <v>31003</v>
      </c>
      <c r="C84" s="1634">
        <v>5113</v>
      </c>
      <c r="D84" s="1627" t="s">
        <v>196</v>
      </c>
      <c r="E84" s="1633"/>
      <c r="F84" s="1633">
        <v>61126</v>
      </c>
      <c r="G84" s="1633"/>
      <c r="H84" s="1625">
        <f t="shared" ref="H84:H89" si="6">+G84-F84</f>
        <v>-61126</v>
      </c>
      <c r="I84" s="1625">
        <f t="shared" ref="I84:I89" si="7">G84-E84</f>
        <v>0</v>
      </c>
      <c r="J84" s="1633"/>
      <c r="K84" s="1633"/>
      <c r="L84" s="1633"/>
    </row>
    <row r="85" spans="1:12" s="1624" customFormat="1" ht="15.75" customHeight="1">
      <c r="A85" s="1632"/>
      <c r="B85" s="1632"/>
      <c r="C85" s="1628">
        <v>5121</v>
      </c>
      <c r="D85" s="1627" t="s">
        <v>197</v>
      </c>
      <c r="E85" s="1626"/>
      <c r="F85" s="1626"/>
      <c r="G85" s="1625"/>
      <c r="H85" s="1625">
        <f t="shared" si="6"/>
        <v>0</v>
      </c>
      <c r="I85" s="1625">
        <f t="shared" si="7"/>
        <v>0</v>
      </c>
      <c r="J85" s="1626"/>
      <c r="K85" s="1625"/>
      <c r="L85" s="1625"/>
    </row>
    <row r="86" spans="1:12" s="1624" customFormat="1" ht="14.25">
      <c r="A86" s="1630"/>
      <c r="B86" s="1630">
        <v>31001</v>
      </c>
      <c r="C86" s="1628">
        <v>5122</v>
      </c>
      <c r="D86" s="1627" t="s">
        <v>198</v>
      </c>
      <c r="E86" s="1625">
        <v>1575.9</v>
      </c>
      <c r="F86" s="1625">
        <v>3552.8</v>
      </c>
      <c r="G86" s="1625"/>
      <c r="H86" s="1625">
        <f t="shared" si="6"/>
        <v>-3552.8</v>
      </c>
      <c r="I86" s="1625">
        <f t="shared" si="7"/>
        <v>-1575.9</v>
      </c>
      <c r="J86" s="1631"/>
      <c r="K86" s="1625"/>
      <c r="L86" s="1625"/>
    </row>
    <row r="87" spans="1:12" s="1624" customFormat="1" ht="14.25">
      <c r="A87" s="1630"/>
      <c r="B87" s="1630"/>
      <c r="C87" s="1628">
        <v>5129</v>
      </c>
      <c r="D87" s="1627" t="s">
        <v>88</v>
      </c>
      <c r="E87" s="1626"/>
      <c r="F87" s="1626"/>
      <c r="G87" s="1625"/>
      <c r="H87" s="1625">
        <f t="shared" si="6"/>
        <v>0</v>
      </c>
      <c r="I87" s="1625">
        <f t="shared" si="7"/>
        <v>0</v>
      </c>
      <c r="J87" s="1626"/>
      <c r="K87" s="1625"/>
      <c r="L87" s="1625"/>
    </row>
    <row r="88" spans="1:12" s="1624" customFormat="1" ht="14.25">
      <c r="A88" s="1630"/>
      <c r="B88" s="1630"/>
      <c r="C88" s="1628">
        <v>5131</v>
      </c>
      <c r="D88" s="1627" t="s">
        <v>335</v>
      </c>
      <c r="E88" s="1626"/>
      <c r="F88" s="1626"/>
      <c r="G88" s="1625"/>
      <c r="H88" s="1625">
        <f t="shared" si="6"/>
        <v>0</v>
      </c>
      <c r="I88" s="1625">
        <f t="shared" si="7"/>
        <v>0</v>
      </c>
      <c r="J88" s="1626"/>
      <c r="K88" s="1625"/>
      <c r="L88" s="1625"/>
    </row>
    <row r="89" spans="1:12" s="1624" customFormat="1" ht="15.75" customHeight="1">
      <c r="A89" s="1629"/>
      <c r="B89" s="1629"/>
      <c r="C89" s="1628">
        <v>5132</v>
      </c>
      <c r="D89" s="1627" t="s">
        <v>199</v>
      </c>
      <c r="E89" s="1626"/>
      <c r="F89" s="1626"/>
      <c r="G89" s="1625"/>
      <c r="H89" s="1625">
        <f t="shared" si="6"/>
        <v>0</v>
      </c>
      <c r="I89" s="1625">
        <f t="shared" si="7"/>
        <v>0</v>
      </c>
      <c r="J89" s="1626"/>
      <c r="K89" s="1625"/>
      <c r="L89" s="1625"/>
    </row>
  </sheetData>
  <mergeCells count="11">
    <mergeCell ref="A2:H2"/>
    <mergeCell ref="A82:B82"/>
    <mergeCell ref="A7:B7"/>
    <mergeCell ref="D3:I3"/>
    <mergeCell ref="A10:A18"/>
    <mergeCell ref="B10:B12"/>
    <mergeCell ref="B13:B14"/>
    <mergeCell ref="B15:B16"/>
    <mergeCell ref="B17:B18"/>
    <mergeCell ref="C7:D7"/>
    <mergeCell ref="A6:B6"/>
  </mergeCells>
  <conditionalFormatting sqref="C8:D8">
    <cfRule type="cellIs" dxfId="1" priority="2" stopIfTrue="1" operator="equal">
      <formula>0</formula>
    </cfRule>
  </conditionalFormatting>
  <conditionalFormatting sqref="D14:D15">
    <cfRule type="cellIs" dxfId="0" priority="1" stopIfTrue="1" operator="equal">
      <formula>0</formula>
    </cfRule>
  </conditionalFormatting>
  <pageMargins left="0.18" right="0.17" top="0.19" bottom="0.16" header="0.18" footer="0.16"/>
  <pageSetup paperSize="9" scale="58" orientation="landscape" verticalDpi="1200" r:id="rId1"/>
  <headerFooter alignWithMargins="0">
    <oddFooter>&amp;R&amp;8&amp;P</oddFooter>
  </headerFooter>
  <rowBreaks count="2" manualBreakCount="2">
    <brk id="42" max="11" man="1"/>
    <brk id="81" max="11"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K265"/>
  <sheetViews>
    <sheetView zoomScaleNormal="100" workbookViewId="0">
      <selection activeCell="N13" sqref="N13"/>
    </sheetView>
  </sheetViews>
  <sheetFormatPr defaultRowHeight="14.25"/>
  <cols>
    <col min="1" max="1" width="2.85546875" style="995" customWidth="1"/>
    <col min="2" max="2" width="11.7109375" style="995" customWidth="1"/>
    <col min="3" max="3" width="11.140625" style="995" customWidth="1"/>
    <col min="4" max="4" width="54.85546875" style="995" customWidth="1"/>
    <col min="5" max="5" width="13.140625" style="995" customWidth="1"/>
    <col min="6" max="6" width="12.28515625" style="995" customWidth="1"/>
    <col min="7" max="7" width="13.140625" style="995" hidden="1" customWidth="1"/>
    <col min="8" max="8" width="13" style="995" hidden="1" customWidth="1"/>
    <col min="9" max="9" width="13.140625" style="995" hidden="1" customWidth="1"/>
    <col min="10" max="10" width="14.7109375" style="995" customWidth="1"/>
    <col min="11" max="11" width="14.140625" style="995" customWidth="1"/>
    <col min="12" max="12" width="13.140625" style="995" customWidth="1"/>
    <col min="13" max="16384" width="9.140625" style="995"/>
  </cols>
  <sheetData>
    <row r="1" spans="2:89" s="1045" customFormat="1" ht="6.75" customHeight="1"/>
    <row r="2" spans="2:89" s="1045" customFormat="1" ht="15" customHeight="1">
      <c r="B2" s="1055" t="s">
        <v>456</v>
      </c>
      <c r="C2" s="1054"/>
      <c r="D2" s="1054"/>
      <c r="E2" s="1054"/>
      <c r="F2" s="1054"/>
      <c r="G2" s="1054"/>
      <c r="H2" s="1054"/>
      <c r="I2" s="1054"/>
      <c r="J2" s="1054"/>
      <c r="K2" s="1054"/>
      <c r="L2" s="1054"/>
    </row>
    <row r="3" spans="2:89" s="1045" customFormat="1">
      <c r="B3" s="1055"/>
      <c r="C3" s="1054"/>
      <c r="D3" s="1054"/>
      <c r="E3" s="1054"/>
      <c r="F3" s="1054"/>
      <c r="G3" s="1054"/>
      <c r="H3" s="1054"/>
      <c r="I3" s="1054"/>
      <c r="J3" s="1054"/>
      <c r="K3" s="1054"/>
      <c r="L3" s="1054"/>
    </row>
    <row r="4" spans="2:89" s="1045" customFormat="1" ht="15" customHeight="1">
      <c r="B4" s="1058" t="s">
        <v>455</v>
      </c>
      <c r="C4" s="1057"/>
      <c r="D4" s="1056" t="s">
        <v>454</v>
      </c>
      <c r="F4" s="1054"/>
      <c r="G4" s="1054"/>
      <c r="H4" s="1054"/>
      <c r="I4" s="1054"/>
      <c r="J4" s="1054"/>
      <c r="K4" s="1054"/>
      <c r="L4" s="1054"/>
    </row>
    <row r="5" spans="2:89" s="1045" customFormat="1" ht="11.25" customHeight="1">
      <c r="B5" s="1054"/>
      <c r="C5" s="1054"/>
      <c r="D5" s="1054"/>
      <c r="E5" s="1054"/>
      <c r="F5" s="1054"/>
      <c r="G5" s="1054"/>
      <c r="H5" s="1054"/>
      <c r="I5" s="1054"/>
      <c r="J5" s="1054"/>
      <c r="K5" s="1054"/>
      <c r="L5" s="1054"/>
    </row>
    <row r="6" spans="2:89" s="1045" customFormat="1">
      <c r="B6" s="1055" t="s">
        <v>453</v>
      </c>
      <c r="C6" s="1054"/>
      <c r="D6" s="1054"/>
      <c r="E6" s="1054"/>
      <c r="F6" s="1054"/>
      <c r="G6" s="1054"/>
      <c r="H6" s="1054"/>
      <c r="I6" s="1054"/>
      <c r="J6" s="1054"/>
      <c r="K6" s="1054"/>
      <c r="L6" s="1054"/>
    </row>
    <row r="7" spans="2:89" ht="10.5" customHeight="1"/>
    <row r="8" spans="2:89" s="1045" customFormat="1" ht="29.25" customHeight="1">
      <c r="B8" s="1053" t="s">
        <v>452</v>
      </c>
      <c r="C8" s="1052"/>
      <c r="D8" s="1050" t="s">
        <v>451</v>
      </c>
      <c r="E8" s="1050" t="s">
        <v>450</v>
      </c>
      <c r="F8" s="1050" t="s">
        <v>449</v>
      </c>
      <c r="G8" s="1051" t="s">
        <v>448</v>
      </c>
      <c r="H8" s="1051" t="s">
        <v>447</v>
      </c>
      <c r="I8" s="1051" t="s">
        <v>446</v>
      </c>
      <c r="J8" s="1050" t="s">
        <v>445</v>
      </c>
      <c r="K8" s="1050" t="s">
        <v>444</v>
      </c>
      <c r="L8" s="1050" t="s">
        <v>443</v>
      </c>
    </row>
    <row r="9" spans="2:89" s="1045" customFormat="1" ht="16.5" customHeight="1">
      <c r="B9" s="1049"/>
      <c r="C9" s="1048"/>
      <c r="D9" s="1046"/>
      <c r="E9" s="1046" t="s">
        <v>442</v>
      </c>
      <c r="F9" s="1046" t="s">
        <v>442</v>
      </c>
      <c r="G9" s="1047" t="s">
        <v>442</v>
      </c>
      <c r="H9" s="1047" t="s">
        <v>442</v>
      </c>
      <c r="I9" s="1047" t="s">
        <v>442</v>
      </c>
      <c r="J9" s="1046" t="s">
        <v>442</v>
      </c>
      <c r="K9" s="1046" t="s">
        <v>442</v>
      </c>
      <c r="L9" s="1046" t="s">
        <v>442</v>
      </c>
    </row>
    <row r="10" spans="2:89" s="1040" customFormat="1" ht="24" customHeight="1">
      <c r="B10" s="2049" t="s">
        <v>441</v>
      </c>
      <c r="C10" s="2049"/>
      <c r="D10" s="2049"/>
      <c r="E10" s="1044">
        <f t="shared" ref="E10:L10" si="0">E12+E33+E48+E76+E91+E179+E243</f>
        <v>5521700.6799999997</v>
      </c>
      <c r="F10" s="1044">
        <f t="shared" si="0"/>
        <v>6984079.4999999991</v>
      </c>
      <c r="G10" s="1044">
        <f t="shared" si="0"/>
        <v>2524727.0703014</v>
      </c>
      <c r="H10" s="1044">
        <f t="shared" si="0"/>
        <v>5682153.9881781498</v>
      </c>
      <c r="I10" s="1044">
        <f t="shared" si="0"/>
        <v>8841098.9860548992</v>
      </c>
      <c r="J10" s="1044">
        <f t="shared" si="0"/>
        <v>12631225.751507001</v>
      </c>
      <c r="K10" s="1044">
        <f t="shared" si="0"/>
        <v>10156327.451463101</v>
      </c>
      <c r="L10" s="1044">
        <f t="shared" si="0"/>
        <v>9913882.0512688011</v>
      </c>
      <c r="M10" s="1043"/>
      <c r="N10" s="1042"/>
      <c r="O10" s="1042"/>
      <c r="P10" s="1042"/>
      <c r="Q10" s="1041"/>
      <c r="R10" s="1041"/>
      <c r="S10" s="1041"/>
      <c r="T10" s="1041"/>
      <c r="U10" s="1041"/>
      <c r="V10" s="1041"/>
      <c r="W10" s="1041"/>
      <c r="X10" s="1041"/>
      <c r="Y10" s="1041"/>
      <c r="Z10" s="1041"/>
      <c r="AA10" s="1041"/>
      <c r="AB10" s="1041"/>
      <c r="AC10" s="1041"/>
      <c r="AD10" s="1041"/>
      <c r="AE10" s="1041"/>
      <c r="AF10" s="1041"/>
      <c r="AG10" s="1041"/>
      <c r="AH10" s="1041"/>
      <c r="AI10" s="1041"/>
      <c r="AJ10" s="1041"/>
      <c r="AK10" s="1041"/>
      <c r="AL10" s="1041"/>
      <c r="AM10" s="1041"/>
      <c r="AN10" s="1041"/>
      <c r="AO10" s="1041"/>
      <c r="AP10" s="1041"/>
      <c r="AQ10" s="1041"/>
      <c r="AR10" s="1041"/>
      <c r="AS10" s="1041"/>
      <c r="AT10" s="1041"/>
      <c r="AU10" s="1041"/>
      <c r="AV10" s="1041"/>
      <c r="AW10" s="1041"/>
      <c r="AX10" s="1041"/>
      <c r="AY10" s="1041"/>
      <c r="AZ10" s="1041"/>
      <c r="BA10" s="1041"/>
      <c r="BB10" s="1041"/>
      <c r="BC10" s="1041"/>
      <c r="BD10" s="1041"/>
      <c r="BE10" s="1041"/>
      <c r="BF10" s="1041"/>
      <c r="BG10" s="1041"/>
      <c r="BH10" s="1041"/>
      <c r="BI10" s="1041"/>
      <c r="BJ10" s="1041"/>
      <c r="BK10" s="1041"/>
      <c r="BL10" s="1041"/>
      <c r="BM10" s="1041"/>
      <c r="BN10" s="1041"/>
      <c r="BO10" s="1041"/>
      <c r="BP10" s="1041"/>
      <c r="BQ10" s="1041"/>
      <c r="BR10" s="1041"/>
      <c r="BS10" s="1041"/>
      <c r="BT10" s="1041"/>
      <c r="BU10" s="1041"/>
      <c r="BV10" s="1041"/>
      <c r="BW10" s="1041"/>
      <c r="BX10" s="1041"/>
      <c r="BY10" s="1041"/>
      <c r="BZ10" s="1041"/>
      <c r="CA10" s="1041"/>
      <c r="CB10" s="1041"/>
      <c r="CC10" s="1041"/>
      <c r="CD10" s="1041"/>
      <c r="CE10" s="1041"/>
      <c r="CF10" s="1041"/>
      <c r="CG10" s="1041"/>
      <c r="CH10" s="1041"/>
      <c r="CI10" s="1041"/>
      <c r="CJ10" s="1041"/>
      <c r="CK10" s="1041"/>
    </row>
    <row r="11" spans="2:89">
      <c r="B11" s="2058" t="s">
        <v>360</v>
      </c>
      <c r="C11" s="2059"/>
      <c r="D11" s="2052"/>
      <c r="E11" s="2052"/>
      <c r="F11" s="2052"/>
      <c r="G11" s="2052"/>
      <c r="H11" s="2052"/>
      <c r="I11" s="2052"/>
      <c r="J11" s="2052"/>
      <c r="K11" s="2052"/>
      <c r="L11" s="2052"/>
    </row>
    <row r="12" spans="2:89" ht="15" customHeight="1">
      <c r="B12" s="2062">
        <v>1016</v>
      </c>
      <c r="C12" s="2054"/>
      <c r="D12" s="998" t="s">
        <v>359</v>
      </c>
      <c r="E12" s="2057">
        <f t="shared" ref="E12:L12" si="1">E20+E26</f>
        <v>355323.9</v>
      </c>
      <c r="F12" s="2057">
        <f t="shared" si="1"/>
        <v>319103.59999999998</v>
      </c>
      <c r="G12" s="2057">
        <f t="shared" si="1"/>
        <v>137176.54</v>
      </c>
      <c r="H12" s="2057">
        <f t="shared" si="1"/>
        <v>308647.21500000003</v>
      </c>
      <c r="I12" s="2057">
        <f t="shared" si="1"/>
        <v>480117.89</v>
      </c>
      <c r="J12" s="2057">
        <f t="shared" si="1"/>
        <v>685882.70000000007</v>
      </c>
      <c r="K12" s="2057">
        <f t="shared" si="1"/>
        <v>763617</v>
      </c>
      <c r="L12" s="2057">
        <f t="shared" si="1"/>
        <v>723978.8</v>
      </c>
    </row>
    <row r="13" spans="2:89" ht="25.5" customHeight="1">
      <c r="B13" s="2063"/>
      <c r="C13" s="2055"/>
      <c r="D13" s="999" t="s">
        <v>440</v>
      </c>
      <c r="E13" s="2057"/>
      <c r="F13" s="2057"/>
      <c r="G13" s="2057"/>
      <c r="H13" s="2057"/>
      <c r="I13" s="2057"/>
      <c r="J13" s="2057"/>
      <c r="K13" s="2057"/>
      <c r="L13" s="2057"/>
    </row>
    <row r="14" spans="2:89" ht="13.5" customHeight="1">
      <c r="B14" s="2063"/>
      <c r="C14" s="2055"/>
      <c r="D14" s="998" t="s">
        <v>358</v>
      </c>
      <c r="E14" s="2057"/>
      <c r="F14" s="2057"/>
      <c r="G14" s="2057"/>
      <c r="H14" s="2057"/>
      <c r="I14" s="2057"/>
      <c r="J14" s="2057"/>
      <c r="K14" s="2057"/>
      <c r="L14" s="2057"/>
    </row>
    <row r="15" spans="2:89" ht="39" customHeight="1">
      <c r="B15" s="2063"/>
      <c r="C15" s="2055"/>
      <c r="D15" s="1009" t="s">
        <v>439</v>
      </c>
      <c r="E15" s="2057"/>
      <c r="F15" s="2057"/>
      <c r="G15" s="2057"/>
      <c r="H15" s="2057"/>
      <c r="I15" s="2057"/>
      <c r="J15" s="2057"/>
      <c r="K15" s="2057"/>
      <c r="L15" s="2057"/>
    </row>
    <row r="16" spans="2:89" ht="12.75" customHeight="1">
      <c r="B16" s="2063"/>
      <c r="C16" s="2055"/>
      <c r="D16" s="998" t="s">
        <v>356</v>
      </c>
      <c r="E16" s="2057"/>
      <c r="F16" s="2057"/>
      <c r="G16" s="2057"/>
      <c r="H16" s="2057"/>
      <c r="I16" s="2057"/>
      <c r="J16" s="2057"/>
      <c r="K16" s="2057"/>
      <c r="L16" s="2057"/>
    </row>
    <row r="17" spans="2:15" ht="25.5" customHeight="1">
      <c r="B17" s="2064"/>
      <c r="C17" s="2056"/>
      <c r="D17" s="1013" t="s">
        <v>438</v>
      </c>
      <c r="E17" s="2057"/>
      <c r="F17" s="2057"/>
      <c r="G17" s="2057"/>
      <c r="H17" s="2057"/>
      <c r="I17" s="2057"/>
      <c r="J17" s="2057"/>
      <c r="K17" s="2057"/>
      <c r="L17" s="2057"/>
    </row>
    <row r="18" spans="2:15" ht="13.5" customHeight="1">
      <c r="B18" s="2050" t="s">
        <v>354</v>
      </c>
      <c r="C18" s="2051"/>
      <c r="D18" s="1031"/>
      <c r="E18" s="1030"/>
      <c r="F18" s="1030"/>
      <c r="G18" s="1030"/>
      <c r="H18" s="1030"/>
      <c r="I18" s="1030"/>
      <c r="J18" s="1030"/>
      <c r="K18" s="1030"/>
      <c r="L18" s="1030"/>
      <c r="M18" s="1028"/>
      <c r="N18" s="1027"/>
      <c r="O18" s="1027"/>
    </row>
    <row r="19" spans="2:15">
      <c r="B19" s="2050"/>
      <c r="C19" s="2051"/>
      <c r="D19" s="1002" t="s">
        <v>353</v>
      </c>
      <c r="E19" s="1029"/>
      <c r="F19" s="1029"/>
      <c r="G19" s="1029"/>
      <c r="H19" s="1029"/>
      <c r="I19" s="1029"/>
      <c r="J19" s="1029"/>
      <c r="K19" s="1029"/>
      <c r="L19" s="1029"/>
      <c r="M19" s="1028"/>
      <c r="N19" s="1027"/>
      <c r="O19" s="1027"/>
    </row>
    <row r="20" spans="2:15" ht="15" customHeight="1">
      <c r="B20" s="2069"/>
      <c r="C20" s="2072">
        <v>11001</v>
      </c>
      <c r="D20" s="998" t="s">
        <v>350</v>
      </c>
      <c r="E20" s="2065">
        <f>'Havelvac 3 mas 4 ՄԺԾԾ'!D25</f>
        <v>38077.199999999997</v>
      </c>
      <c r="F20" s="2065">
        <f>'Havelvac 3 mas 4 ՄԺԾԾ'!E25</f>
        <v>45461.8</v>
      </c>
      <c r="G20" s="2065">
        <f>'Havelvac 3 mas 4 ՄԺԾԾ'!F25</f>
        <v>9092.36</v>
      </c>
      <c r="H20" s="2065">
        <f>'Havelvac 3 mas 4 ՄԺԾԾ'!G25</f>
        <v>20457.810000000001</v>
      </c>
      <c r="I20" s="2065">
        <f>'Havelvac 3 mas 4 ՄԺԾԾ'!H25</f>
        <v>31823.26</v>
      </c>
      <c r="J20" s="2065">
        <f>'Havelvac 3 mas 4 ՄԺԾԾ'!I25</f>
        <v>45461.8</v>
      </c>
      <c r="K20" s="2065">
        <f>'Havelvac 3 mas 4 ՄԺԾԾ'!J25</f>
        <v>45461.8</v>
      </c>
      <c r="L20" s="2065">
        <f>'Havelvac 3 mas 4 ՄԺԾԾ'!K25</f>
        <v>45461.8</v>
      </c>
      <c r="M20" s="1028"/>
      <c r="N20" s="1027"/>
      <c r="O20" s="1027"/>
    </row>
    <row r="21" spans="2:15" ht="26.25" customHeight="1">
      <c r="B21" s="2070"/>
      <c r="C21" s="2073"/>
      <c r="D21" s="999" t="s">
        <v>437</v>
      </c>
      <c r="E21" s="2066"/>
      <c r="F21" s="2066"/>
      <c r="G21" s="2066"/>
      <c r="H21" s="2066"/>
      <c r="I21" s="2066"/>
      <c r="J21" s="2066"/>
      <c r="K21" s="2066"/>
      <c r="L21" s="2066"/>
    </row>
    <row r="22" spans="2:15" ht="13.5" customHeight="1">
      <c r="B22" s="2070"/>
      <c r="C22" s="2073"/>
      <c r="D22" s="998" t="s">
        <v>348</v>
      </c>
      <c r="E22" s="2066"/>
      <c r="F22" s="2066"/>
      <c r="G22" s="2066"/>
      <c r="H22" s="2066"/>
      <c r="I22" s="2066"/>
      <c r="J22" s="2066"/>
      <c r="K22" s="2066"/>
      <c r="L22" s="2066"/>
    </row>
    <row r="23" spans="2:15" ht="27" customHeight="1">
      <c r="B23" s="2070"/>
      <c r="C23" s="2073"/>
      <c r="D23" s="1013" t="s">
        <v>436</v>
      </c>
      <c r="E23" s="2066"/>
      <c r="F23" s="2066"/>
      <c r="G23" s="2066"/>
      <c r="H23" s="2066"/>
      <c r="I23" s="2066"/>
      <c r="J23" s="2066"/>
      <c r="K23" s="2066"/>
      <c r="L23" s="2066"/>
    </row>
    <row r="24" spans="2:15" ht="12.75" customHeight="1">
      <c r="B24" s="2070"/>
      <c r="C24" s="2073"/>
      <c r="D24" s="998" t="s">
        <v>346</v>
      </c>
      <c r="E24" s="2066"/>
      <c r="F24" s="2066"/>
      <c r="G24" s="2066"/>
      <c r="H24" s="2066"/>
      <c r="I24" s="2066"/>
      <c r="J24" s="2066"/>
      <c r="K24" s="2066"/>
      <c r="L24" s="2066"/>
    </row>
    <row r="25" spans="2:15" ht="12" customHeight="1">
      <c r="B25" s="2071"/>
      <c r="C25" s="2074"/>
      <c r="D25" s="1039" t="s">
        <v>345</v>
      </c>
      <c r="E25" s="2067"/>
      <c r="F25" s="2067"/>
      <c r="G25" s="2067"/>
      <c r="H25" s="2067"/>
      <c r="I25" s="2067"/>
      <c r="J25" s="2067"/>
      <c r="K25" s="2067"/>
      <c r="L25" s="2067"/>
    </row>
    <row r="26" spans="2:15" ht="13.5" customHeight="1">
      <c r="B26" s="2068"/>
      <c r="C26" s="2072">
        <v>11002</v>
      </c>
      <c r="D26" s="998" t="s">
        <v>350</v>
      </c>
      <c r="E26" s="2057">
        <f>'Havelvac 3 mas 4 ՄԺԾԾ'!D52</f>
        <v>317246.7</v>
      </c>
      <c r="F26" s="2057">
        <f>'Havelvac 3 mas 4 ՄԺԾԾ'!E52</f>
        <v>273641.8</v>
      </c>
      <c r="G26" s="2057">
        <f>'Havelvac 3 mas 4 ՄԺԾԾ'!F52</f>
        <v>128084.18000000001</v>
      </c>
      <c r="H26" s="2057">
        <f>'Havelvac 3 mas 4 ՄԺԾԾ'!G52</f>
        <v>288189.40500000003</v>
      </c>
      <c r="I26" s="2057">
        <f>'Havelvac 3 mas 4 ՄԺԾԾ'!H52</f>
        <v>448294.63</v>
      </c>
      <c r="J26" s="2057">
        <f>'Havelvac 3 mas 4 ՄԺԾԾ'!I52</f>
        <v>640420.9</v>
      </c>
      <c r="K26" s="2057">
        <f>'Havelvac 3 mas 4 ՄԺԾԾ'!J52</f>
        <v>718155.2</v>
      </c>
      <c r="L26" s="2057">
        <f>'Havelvac 3 mas 4 ՄԺԾԾ'!K52</f>
        <v>678517</v>
      </c>
    </row>
    <row r="27" spans="2:15" ht="28.5" customHeight="1">
      <c r="B27" s="2068"/>
      <c r="C27" s="2073"/>
      <c r="D27" s="1009" t="s">
        <v>435</v>
      </c>
      <c r="E27" s="2057"/>
      <c r="F27" s="2057"/>
      <c r="G27" s="2057"/>
      <c r="H27" s="2057"/>
      <c r="I27" s="2057"/>
      <c r="J27" s="2057"/>
      <c r="K27" s="2057"/>
      <c r="L27" s="2057"/>
    </row>
    <row r="28" spans="2:15" ht="14.25" customHeight="1">
      <c r="B28" s="2068"/>
      <c r="C28" s="2073"/>
      <c r="D28" s="998" t="s">
        <v>348</v>
      </c>
      <c r="E28" s="2057"/>
      <c r="F28" s="2057"/>
      <c r="G28" s="2057"/>
      <c r="H28" s="2057"/>
      <c r="I28" s="2057"/>
      <c r="J28" s="2057"/>
      <c r="K28" s="2057"/>
      <c r="L28" s="2057"/>
    </row>
    <row r="29" spans="2:15" ht="25.5" customHeight="1">
      <c r="B29" s="2068"/>
      <c r="C29" s="2073"/>
      <c r="D29" s="999" t="s">
        <v>434</v>
      </c>
      <c r="E29" s="2057"/>
      <c r="F29" s="2057"/>
      <c r="G29" s="2057"/>
      <c r="H29" s="2057"/>
      <c r="I29" s="2057"/>
      <c r="J29" s="2057"/>
      <c r="K29" s="2057"/>
      <c r="L29" s="2057"/>
    </row>
    <row r="30" spans="2:15" ht="13.5" customHeight="1">
      <c r="B30" s="2068"/>
      <c r="C30" s="2073"/>
      <c r="D30" s="998" t="s">
        <v>346</v>
      </c>
      <c r="E30" s="2057"/>
      <c r="F30" s="2057"/>
      <c r="G30" s="2057"/>
      <c r="H30" s="2057"/>
      <c r="I30" s="2057"/>
      <c r="J30" s="2057"/>
      <c r="K30" s="2057"/>
      <c r="L30" s="2057"/>
    </row>
    <row r="31" spans="2:15" ht="12.75" customHeight="1">
      <c r="B31" s="2068"/>
      <c r="C31" s="2074"/>
      <c r="D31" s="997" t="s">
        <v>345</v>
      </c>
      <c r="E31" s="2057"/>
      <c r="F31" s="2057"/>
      <c r="G31" s="2057"/>
      <c r="H31" s="2057"/>
      <c r="I31" s="2057"/>
      <c r="J31" s="2057"/>
      <c r="K31" s="2057"/>
      <c r="L31" s="2057"/>
    </row>
    <row r="32" spans="2:15">
      <c r="B32" s="2050" t="s">
        <v>360</v>
      </c>
      <c r="C32" s="2051"/>
      <c r="D32" s="2052"/>
      <c r="E32" s="2052"/>
      <c r="F32" s="2052"/>
      <c r="G32" s="2052"/>
      <c r="H32" s="2052"/>
      <c r="I32" s="2052"/>
      <c r="J32" s="2052"/>
      <c r="K32" s="2052"/>
      <c r="L32" s="2052"/>
    </row>
    <row r="33" spans="2:20" s="1036" customFormat="1" ht="15.75">
      <c r="B33" s="2077">
        <v>1020</v>
      </c>
      <c r="C33" s="2092"/>
      <c r="D33" s="1037" t="s">
        <v>359</v>
      </c>
      <c r="E33" s="2060">
        <f t="shared" ref="E33:L33" si="2">E41</f>
        <v>0</v>
      </c>
      <c r="F33" s="2060">
        <f t="shared" si="2"/>
        <v>0</v>
      </c>
      <c r="G33" s="2060">
        <f t="shared" si="2"/>
        <v>270460</v>
      </c>
      <c r="H33" s="2060">
        <f t="shared" si="2"/>
        <v>608535</v>
      </c>
      <c r="I33" s="2060">
        <f t="shared" si="2"/>
        <v>946609.99999999988</v>
      </c>
      <c r="J33" s="2060">
        <f t="shared" si="2"/>
        <v>1352300</v>
      </c>
      <c r="K33" s="2060">
        <f t="shared" si="2"/>
        <v>1352300</v>
      </c>
      <c r="L33" s="2060">
        <f t="shared" si="2"/>
        <v>1352300</v>
      </c>
    </row>
    <row r="34" spans="2:20" s="1036" customFormat="1" ht="15.75">
      <c r="B34" s="2078"/>
      <c r="C34" s="2093"/>
      <c r="D34" s="1035" t="s">
        <v>433</v>
      </c>
      <c r="E34" s="2061"/>
      <c r="F34" s="2061"/>
      <c r="G34" s="2061"/>
      <c r="H34" s="2061"/>
      <c r="I34" s="2061"/>
      <c r="J34" s="2061"/>
      <c r="K34" s="2061"/>
      <c r="L34" s="2061"/>
    </row>
    <row r="35" spans="2:20" s="1036" customFormat="1" ht="15.75">
      <c r="B35" s="2078"/>
      <c r="C35" s="2093"/>
      <c r="D35" s="1037" t="s">
        <v>358</v>
      </c>
      <c r="E35" s="2061"/>
      <c r="F35" s="2061"/>
      <c r="G35" s="2061"/>
      <c r="H35" s="2061"/>
      <c r="I35" s="2061"/>
      <c r="J35" s="2061"/>
      <c r="K35" s="2061"/>
      <c r="L35" s="2061"/>
    </row>
    <row r="36" spans="2:20" s="1036" customFormat="1" ht="45" customHeight="1">
      <c r="B36" s="2078"/>
      <c r="C36" s="2093"/>
      <c r="D36" s="1035" t="s">
        <v>432</v>
      </c>
      <c r="E36" s="2061"/>
      <c r="F36" s="2061"/>
      <c r="G36" s="2061"/>
      <c r="H36" s="2061"/>
      <c r="I36" s="2061"/>
      <c r="J36" s="2061"/>
      <c r="K36" s="2061"/>
      <c r="L36" s="2061"/>
    </row>
    <row r="37" spans="2:20" s="1036" customFormat="1" ht="15.75">
      <c r="B37" s="2078"/>
      <c r="C37" s="2093"/>
      <c r="D37" s="1037" t="s">
        <v>356</v>
      </c>
      <c r="E37" s="2061"/>
      <c r="F37" s="2061"/>
      <c r="G37" s="2061"/>
      <c r="H37" s="2061"/>
      <c r="I37" s="2061"/>
      <c r="J37" s="2061"/>
      <c r="K37" s="2061"/>
      <c r="L37" s="2061"/>
    </row>
    <row r="38" spans="2:20" s="1036" customFormat="1" ht="51.75" customHeight="1">
      <c r="B38" s="2079"/>
      <c r="C38" s="2094"/>
      <c r="D38" s="1035" t="s">
        <v>431</v>
      </c>
      <c r="E38" s="2061"/>
      <c r="F38" s="2061"/>
      <c r="G38" s="2061"/>
      <c r="H38" s="2061"/>
      <c r="I38" s="2061"/>
      <c r="J38" s="2061"/>
      <c r="K38" s="2061"/>
      <c r="L38" s="2061"/>
    </row>
    <row r="39" spans="2:20" ht="13.5" customHeight="1">
      <c r="B39" s="2050" t="s">
        <v>354</v>
      </c>
      <c r="C39" s="2051"/>
      <c r="D39" s="1031"/>
      <c r="E39" s="1030"/>
      <c r="F39" s="1030"/>
      <c r="G39" s="1030"/>
      <c r="H39" s="1030"/>
      <c r="I39" s="1030"/>
      <c r="J39" s="1030"/>
      <c r="K39" s="1030"/>
      <c r="L39" s="1030"/>
      <c r="M39" s="1028"/>
      <c r="N39" s="1027"/>
      <c r="O39" s="1027"/>
    </row>
    <row r="40" spans="2:20">
      <c r="B40" s="2050"/>
      <c r="C40" s="2051"/>
      <c r="D40" s="1002" t="s">
        <v>353</v>
      </c>
      <c r="E40" s="1029"/>
      <c r="F40" s="1029"/>
      <c r="G40" s="1029"/>
      <c r="H40" s="1029"/>
      <c r="I40" s="1029"/>
      <c r="J40" s="1029"/>
      <c r="K40" s="1029"/>
      <c r="L40" s="1029"/>
      <c r="M40" s="1028"/>
      <c r="N40" s="1027"/>
      <c r="O40" s="1027"/>
    </row>
    <row r="41" spans="2:20" s="1036" customFormat="1" ht="15" customHeight="1">
      <c r="B41" s="2075"/>
      <c r="C41" s="2077">
        <v>11001</v>
      </c>
      <c r="D41" s="1038" t="s">
        <v>350</v>
      </c>
      <c r="E41" s="2060">
        <v>0</v>
      </c>
      <c r="F41" s="2060">
        <v>0</v>
      </c>
      <c r="G41" s="2060">
        <f>'Havelvac 3 mas 4 ՄԺԾԾ'!F82</f>
        <v>270460</v>
      </c>
      <c r="H41" s="2060">
        <f>'Havelvac 3 mas 4 ՄԺԾԾ'!G82</f>
        <v>608535</v>
      </c>
      <c r="I41" s="2060">
        <f>'Havelvac 3 mas 4 ՄԺԾԾ'!H82</f>
        <v>946609.99999999988</v>
      </c>
      <c r="J41" s="2060">
        <f>'Havelvac 3 mas 4 ՄԺԾԾ'!I82</f>
        <v>1352300</v>
      </c>
      <c r="K41" s="2060">
        <f>'Havelvac 3 mas 4 ՄԺԾԾ'!J82</f>
        <v>1352300</v>
      </c>
      <c r="L41" s="2060">
        <f>'Havelvac 3 mas 4 ՄԺԾԾ'!K82</f>
        <v>1352300</v>
      </c>
    </row>
    <row r="42" spans="2:20" s="1036" customFormat="1" ht="27" customHeight="1">
      <c r="B42" s="2076"/>
      <c r="C42" s="2078"/>
      <c r="D42" s="1035" t="s">
        <v>430</v>
      </c>
      <c r="E42" s="2061"/>
      <c r="F42" s="2061"/>
      <c r="G42" s="2061"/>
      <c r="H42" s="2061"/>
      <c r="I42" s="2061"/>
      <c r="J42" s="2061"/>
      <c r="K42" s="2061"/>
      <c r="L42" s="2061"/>
    </row>
    <row r="43" spans="2:20" s="1036" customFormat="1" ht="15.75">
      <c r="B43" s="2076"/>
      <c r="C43" s="2078"/>
      <c r="D43" s="1037" t="s">
        <v>348</v>
      </c>
      <c r="E43" s="2061"/>
      <c r="F43" s="2061"/>
      <c r="G43" s="2061"/>
      <c r="H43" s="2061"/>
      <c r="I43" s="2061"/>
      <c r="J43" s="2061"/>
      <c r="K43" s="2061"/>
      <c r="L43" s="2061"/>
    </row>
    <row r="44" spans="2:20" ht="210" customHeight="1">
      <c r="B44" s="2076"/>
      <c r="C44" s="2078"/>
      <c r="D44" s="1035" t="s">
        <v>429</v>
      </c>
      <c r="E44" s="2061"/>
      <c r="F44" s="2061"/>
      <c r="G44" s="2061"/>
      <c r="H44" s="2061"/>
      <c r="I44" s="2061"/>
      <c r="J44" s="2061"/>
      <c r="K44" s="2061"/>
      <c r="L44" s="2061"/>
      <c r="M44" s="995" t="s">
        <v>428</v>
      </c>
      <c r="S44" s="995" t="s">
        <v>428</v>
      </c>
      <c r="T44" s="995" t="s">
        <v>428</v>
      </c>
    </row>
    <row r="45" spans="2:20" ht="14.25" customHeight="1">
      <c r="B45" s="2076"/>
      <c r="C45" s="2078"/>
      <c r="D45" s="998" t="s">
        <v>346</v>
      </c>
      <c r="E45" s="2061"/>
      <c r="F45" s="2061"/>
      <c r="G45" s="2061"/>
      <c r="H45" s="2061"/>
      <c r="I45" s="2061"/>
      <c r="J45" s="2061"/>
      <c r="K45" s="2061"/>
      <c r="L45" s="2061"/>
    </row>
    <row r="46" spans="2:20" ht="12.75" customHeight="1">
      <c r="B46" s="2076"/>
      <c r="C46" s="2079"/>
      <c r="D46" s="997" t="s">
        <v>345</v>
      </c>
      <c r="E46" s="2080"/>
      <c r="F46" s="2080"/>
      <c r="G46" s="2080"/>
      <c r="H46" s="2080"/>
      <c r="I46" s="2080"/>
      <c r="J46" s="2080"/>
      <c r="K46" s="2080"/>
      <c r="L46" s="2080"/>
    </row>
    <row r="47" spans="2:20">
      <c r="B47" s="2050" t="s">
        <v>360</v>
      </c>
      <c r="C47" s="2051"/>
      <c r="D47" s="2052"/>
      <c r="E47" s="2052"/>
      <c r="F47" s="2052"/>
      <c r="G47" s="2052"/>
      <c r="H47" s="2052"/>
      <c r="I47" s="2052"/>
      <c r="J47" s="2052"/>
      <c r="K47" s="2052"/>
      <c r="L47" s="2052"/>
      <c r="M47" s="1034"/>
      <c r="N47" s="1034"/>
      <c r="O47" s="1034"/>
      <c r="P47" s="1034"/>
    </row>
    <row r="48" spans="2:20" ht="15" customHeight="1">
      <c r="B48" s="2053">
        <v>1071</v>
      </c>
      <c r="C48" s="2054"/>
      <c r="D48" s="998" t="s">
        <v>359</v>
      </c>
      <c r="E48" s="2057">
        <f t="shared" ref="E48:L48" si="3">E56+E62+E69</f>
        <v>1178166.1400000001</v>
      </c>
      <c r="F48" s="2057">
        <f t="shared" si="3"/>
        <v>1168054.5</v>
      </c>
      <c r="G48" s="2057">
        <f t="shared" si="3"/>
        <v>239212.80230140002</v>
      </c>
      <c r="H48" s="2057">
        <f t="shared" si="3"/>
        <v>538228.80517815007</v>
      </c>
      <c r="I48" s="2057">
        <f t="shared" si="3"/>
        <v>837244.8080548998</v>
      </c>
      <c r="J48" s="2057">
        <f t="shared" si="3"/>
        <v>1196064.0115070001</v>
      </c>
      <c r="K48" s="2057">
        <f t="shared" si="3"/>
        <v>1205967.6514631002</v>
      </c>
      <c r="L48" s="2057">
        <f t="shared" si="3"/>
        <v>1214564.9512688001</v>
      </c>
    </row>
    <row r="49" spans="2:15" ht="27" customHeight="1">
      <c r="B49" s="2053"/>
      <c r="C49" s="2055"/>
      <c r="D49" s="1033" t="s">
        <v>427</v>
      </c>
      <c r="E49" s="2057"/>
      <c r="F49" s="2057"/>
      <c r="G49" s="2057"/>
      <c r="H49" s="2057"/>
      <c r="I49" s="2057"/>
      <c r="J49" s="2057"/>
      <c r="K49" s="2057"/>
      <c r="L49" s="2057"/>
    </row>
    <row r="50" spans="2:15">
      <c r="B50" s="2053"/>
      <c r="C50" s="2055"/>
      <c r="D50" s="998" t="s">
        <v>358</v>
      </c>
      <c r="E50" s="2057"/>
      <c r="F50" s="2057"/>
      <c r="G50" s="2057"/>
      <c r="H50" s="2057"/>
      <c r="I50" s="2057"/>
      <c r="J50" s="2057"/>
      <c r="K50" s="2057"/>
      <c r="L50" s="2057"/>
    </row>
    <row r="51" spans="2:15" ht="25.5" customHeight="1">
      <c r="B51" s="2053"/>
      <c r="C51" s="2055"/>
      <c r="D51" s="1033" t="s">
        <v>426</v>
      </c>
      <c r="E51" s="2057"/>
      <c r="F51" s="2057"/>
      <c r="G51" s="2057"/>
      <c r="H51" s="2057"/>
      <c r="I51" s="2057"/>
      <c r="J51" s="2057"/>
      <c r="K51" s="2057"/>
      <c r="L51" s="2057"/>
    </row>
    <row r="52" spans="2:15" ht="17.25" customHeight="1">
      <c r="B52" s="2053"/>
      <c r="C52" s="2055"/>
      <c r="D52" s="998" t="s">
        <v>356</v>
      </c>
      <c r="E52" s="2057"/>
      <c r="F52" s="2057"/>
      <c r="G52" s="2057"/>
      <c r="H52" s="2057"/>
      <c r="I52" s="2057"/>
      <c r="J52" s="2057"/>
      <c r="K52" s="2057"/>
      <c r="L52" s="2057"/>
    </row>
    <row r="53" spans="2:15" ht="36.75" customHeight="1">
      <c r="B53" s="2053"/>
      <c r="C53" s="2056"/>
      <c r="D53" s="1032" t="s">
        <v>425</v>
      </c>
      <c r="E53" s="2057"/>
      <c r="F53" s="2057"/>
      <c r="G53" s="2057"/>
      <c r="H53" s="2057"/>
      <c r="I53" s="2057"/>
      <c r="J53" s="2057"/>
      <c r="K53" s="2057"/>
      <c r="L53" s="2057"/>
    </row>
    <row r="54" spans="2:15" ht="15" customHeight="1">
      <c r="B54" s="2050" t="s">
        <v>354</v>
      </c>
      <c r="C54" s="2051"/>
      <c r="D54" s="1031"/>
      <c r="E54" s="1030"/>
      <c r="F54" s="1030"/>
      <c r="G54" s="1030"/>
      <c r="H54" s="1030"/>
      <c r="I54" s="1030"/>
      <c r="J54" s="1030"/>
      <c r="K54" s="1030"/>
      <c r="L54" s="1030"/>
      <c r="M54" s="1028"/>
      <c r="N54" s="1027"/>
      <c r="O54" s="1027"/>
    </row>
    <row r="55" spans="2:15">
      <c r="B55" s="2050"/>
      <c r="C55" s="2051"/>
      <c r="D55" s="1002" t="s">
        <v>353</v>
      </c>
      <c r="E55" s="1029"/>
      <c r="F55" s="1029"/>
      <c r="G55" s="1029"/>
      <c r="H55" s="1029"/>
      <c r="I55" s="1029"/>
      <c r="J55" s="1029"/>
      <c r="K55" s="1029"/>
      <c r="L55" s="1029"/>
      <c r="M55" s="1028"/>
      <c r="N55" s="1027"/>
      <c r="O55" s="1027"/>
    </row>
    <row r="56" spans="2:15" ht="14.25" customHeight="1">
      <c r="B56" s="2068"/>
      <c r="C56" s="2072">
        <v>11001</v>
      </c>
      <c r="D56" s="998" t="s">
        <v>350</v>
      </c>
      <c r="E56" s="2057">
        <f>'Havelvac 3 mas 4 ՄԺԾԾ'!D99</f>
        <v>1066981.51</v>
      </c>
      <c r="F56" s="2057">
        <f>'Havelvac 3 mas 4 ՄԺԾԾ'!E99</f>
        <v>1053075.6000000001</v>
      </c>
      <c r="G56" s="2057">
        <f>'Havelvac 3 mas 4 ՄԺԾԾ'!F99</f>
        <v>216216.54237538</v>
      </c>
      <c r="H56" s="2057">
        <f>'Havelvac 3 mas 4 ՄԺԾԾ'!G99</f>
        <v>486487.22034460498</v>
      </c>
      <c r="I56" s="2057">
        <f>'Havelvac 3 mas 4 ՄԺԾԾ'!H99</f>
        <v>756757.89831382991</v>
      </c>
      <c r="J56" s="2057">
        <f>'Havelvac 3 mas 4 ՄԺԾԾ'!I99</f>
        <v>1081082.7118768999</v>
      </c>
      <c r="K56" s="2057">
        <f>'Havelvac 3 mas 4 ՄԺԾԾ'!J99</f>
        <v>1090986.3318330001</v>
      </c>
      <c r="L56" s="2057">
        <f>'Havelvac 3 mas 4 ՄԺԾԾ'!K99</f>
        <v>1099583.6316386999</v>
      </c>
      <c r="M56" s="1028"/>
      <c r="N56" s="1027"/>
      <c r="O56" s="1027"/>
    </row>
    <row r="57" spans="2:15" ht="27.75" customHeight="1">
      <c r="B57" s="2068"/>
      <c r="C57" s="2073"/>
      <c r="D57" s="999" t="s">
        <v>424</v>
      </c>
      <c r="E57" s="2057"/>
      <c r="F57" s="2057"/>
      <c r="G57" s="2057"/>
      <c r="H57" s="2057"/>
      <c r="I57" s="2057"/>
      <c r="J57" s="2057"/>
      <c r="K57" s="2057"/>
      <c r="L57" s="2057"/>
    </row>
    <row r="58" spans="2:15" ht="13.5" customHeight="1">
      <c r="B58" s="2068"/>
      <c r="C58" s="2073"/>
      <c r="D58" s="998" t="s">
        <v>348</v>
      </c>
      <c r="E58" s="2057"/>
      <c r="F58" s="2057"/>
      <c r="G58" s="2057"/>
      <c r="H58" s="2057"/>
      <c r="I58" s="2057"/>
      <c r="J58" s="2057"/>
      <c r="K58" s="2057"/>
      <c r="L58" s="2057"/>
    </row>
    <row r="59" spans="2:15" ht="39" customHeight="1">
      <c r="B59" s="2068"/>
      <c r="C59" s="2073"/>
      <c r="D59" s="1009" t="s">
        <v>423</v>
      </c>
      <c r="E59" s="2057"/>
      <c r="F59" s="2057"/>
      <c r="G59" s="2057"/>
      <c r="H59" s="2057"/>
      <c r="I59" s="2057"/>
      <c r="J59" s="2057"/>
      <c r="K59" s="2057"/>
      <c r="L59" s="2057"/>
    </row>
    <row r="60" spans="2:15" ht="14.25" customHeight="1">
      <c r="B60" s="2068"/>
      <c r="C60" s="2073"/>
      <c r="D60" s="998" t="s">
        <v>346</v>
      </c>
      <c r="E60" s="2057"/>
      <c r="F60" s="2057"/>
      <c r="G60" s="2057"/>
      <c r="H60" s="2057"/>
      <c r="I60" s="2057"/>
      <c r="J60" s="2057"/>
      <c r="K60" s="2057"/>
      <c r="L60" s="2057"/>
    </row>
    <row r="61" spans="2:15" ht="12.75" customHeight="1">
      <c r="B61" s="2068"/>
      <c r="C61" s="2074"/>
      <c r="D61" s="1009" t="s">
        <v>345</v>
      </c>
      <c r="E61" s="2057"/>
      <c r="F61" s="2057"/>
      <c r="G61" s="2057"/>
      <c r="H61" s="2057"/>
      <c r="I61" s="2057"/>
      <c r="J61" s="2057"/>
      <c r="K61" s="2057"/>
      <c r="L61" s="2057"/>
    </row>
    <row r="62" spans="2:15" ht="16.5" customHeight="1">
      <c r="B62" s="2068"/>
      <c r="C62" s="2072">
        <v>11002</v>
      </c>
      <c r="D62" s="998" t="s">
        <v>350</v>
      </c>
      <c r="E62" s="2057">
        <f>'Havelvac 3 mas 4 ՄԺԾԾ'!D112</f>
        <v>97486.33</v>
      </c>
      <c r="F62" s="2057">
        <f>'Havelvac 3 mas 4 ՄԺԾԾ'!E112</f>
        <v>99042.7</v>
      </c>
      <c r="G62" s="2057">
        <f>'Havelvac 3 mas 4 ՄԺԾԾ'!F112</f>
        <v>19808.540086020002</v>
      </c>
      <c r="H62" s="2057">
        <f>'Havelvac 3 mas 4 ՄԺԾԾ'!G112</f>
        <v>44569.215193545002</v>
      </c>
      <c r="I62" s="2057">
        <f>'Havelvac 3 mas 4 ՄԺԾԾ'!H112</f>
        <v>69329.890301069987</v>
      </c>
      <c r="J62" s="2057">
        <f>'Havelvac 3 mas 4 ՄԺԾԾ'!I112</f>
        <v>99042.700430099998</v>
      </c>
      <c r="K62" s="2057">
        <f>'Havelvac 3 mas 4 ՄԺԾԾ'!J112</f>
        <v>99042.720430100002</v>
      </c>
      <c r="L62" s="2057">
        <f>'Havelvac 3 mas 4 ՄԺԾԾ'!K112</f>
        <v>99042.720430100002</v>
      </c>
    </row>
    <row r="63" spans="2:15" ht="12.75" customHeight="1">
      <c r="B63" s="2068"/>
      <c r="C63" s="2073"/>
      <c r="D63" s="999" t="s">
        <v>422</v>
      </c>
      <c r="E63" s="2057"/>
      <c r="F63" s="2057"/>
      <c r="G63" s="2057"/>
      <c r="H63" s="2057"/>
      <c r="I63" s="2057"/>
      <c r="J63" s="2057"/>
      <c r="K63" s="2057"/>
      <c r="L63" s="2057"/>
    </row>
    <row r="64" spans="2:15" ht="16.5" customHeight="1">
      <c r="B64" s="2068"/>
      <c r="C64" s="2073"/>
      <c r="D64" s="998" t="s">
        <v>348</v>
      </c>
      <c r="E64" s="2057"/>
      <c r="F64" s="2057"/>
      <c r="G64" s="2057"/>
      <c r="H64" s="2057"/>
      <c r="I64" s="2057"/>
      <c r="J64" s="2057"/>
      <c r="K64" s="2057"/>
      <c r="L64" s="2057"/>
    </row>
    <row r="65" spans="2:12" ht="26.25" customHeight="1">
      <c r="B65" s="2068"/>
      <c r="C65" s="2073"/>
      <c r="D65" s="1009" t="s">
        <v>421</v>
      </c>
      <c r="E65" s="2057"/>
      <c r="F65" s="2057"/>
      <c r="G65" s="2057"/>
      <c r="H65" s="2057"/>
      <c r="I65" s="2057"/>
      <c r="J65" s="2057"/>
      <c r="K65" s="2057"/>
      <c r="L65" s="2057"/>
    </row>
    <row r="66" spans="2:12" ht="12.75" customHeight="1">
      <c r="B66" s="2068"/>
      <c r="C66" s="2073"/>
      <c r="D66" s="998" t="s">
        <v>346</v>
      </c>
      <c r="E66" s="2057"/>
      <c r="F66" s="2057"/>
      <c r="G66" s="2057"/>
      <c r="H66" s="2057"/>
      <c r="I66" s="2057"/>
      <c r="J66" s="2057"/>
      <c r="K66" s="2057"/>
      <c r="L66" s="2057"/>
    </row>
    <row r="67" spans="2:12" ht="15" customHeight="1">
      <c r="B67" s="2068"/>
      <c r="C67" s="2074"/>
      <c r="D67" s="997" t="s">
        <v>345</v>
      </c>
      <c r="E67" s="2057"/>
      <c r="F67" s="2057"/>
      <c r="G67" s="2057"/>
      <c r="H67" s="2057"/>
      <c r="I67" s="2057"/>
      <c r="J67" s="2057"/>
      <c r="K67" s="2057"/>
      <c r="L67" s="2057"/>
    </row>
    <row r="68" spans="2:12" ht="18" customHeight="1">
      <c r="B68" s="2050"/>
      <c r="C68" s="2051"/>
      <c r="D68" s="2081" t="s">
        <v>371</v>
      </c>
      <c r="E68" s="2081"/>
      <c r="F68" s="2081"/>
      <c r="G68" s="2081"/>
      <c r="H68" s="2081"/>
      <c r="I68" s="2081"/>
      <c r="J68" s="2081"/>
      <c r="K68" s="2081"/>
      <c r="L68" s="2081"/>
    </row>
    <row r="69" spans="2:12" ht="15.75" customHeight="1">
      <c r="B69" s="2068"/>
      <c r="C69" s="2062">
        <v>31001</v>
      </c>
      <c r="D69" s="998" t="s">
        <v>350</v>
      </c>
      <c r="E69" s="2057">
        <f>'Havelvac 3 mas 4 ՄԺԾԾ'!D128</f>
        <v>13698.3</v>
      </c>
      <c r="F69" s="2057">
        <f>'Havelvac 3 mas 4 ՄԺԾԾ'!E128</f>
        <v>15936.2</v>
      </c>
      <c r="G69" s="2057">
        <f>'Havelvac 3 mas 4 ՄԺԾԾ'!F128</f>
        <v>3187.7198400000002</v>
      </c>
      <c r="H69" s="2057">
        <f>'Havelvac 3 mas 4 ՄԺԾԾ'!G128</f>
        <v>7172.3696400000008</v>
      </c>
      <c r="I69" s="2057">
        <f>'Havelvac 3 mas 4 ՄԺԾԾ'!H128</f>
        <v>11157.01944</v>
      </c>
      <c r="J69" s="2057">
        <f>'Havelvac 3 mas 4 ՄԺԾԾ'!I128</f>
        <v>15938.599200000001</v>
      </c>
      <c r="K69" s="2057">
        <f>'Havelvac 3 mas 4 ՄԺԾԾ'!J128</f>
        <v>15938.599200000001</v>
      </c>
      <c r="L69" s="2057">
        <f>'Havelvac 3 mas 4 ՄԺԾԾ'!K128</f>
        <v>15938.599200000001</v>
      </c>
    </row>
    <row r="70" spans="2:12" ht="27" customHeight="1">
      <c r="B70" s="2068"/>
      <c r="C70" s="2063"/>
      <c r="D70" s="1026" t="s">
        <v>420</v>
      </c>
      <c r="E70" s="2057"/>
      <c r="F70" s="2057"/>
      <c r="G70" s="2057"/>
      <c r="H70" s="2057"/>
      <c r="I70" s="2057"/>
      <c r="J70" s="2057"/>
      <c r="K70" s="2057"/>
      <c r="L70" s="2057"/>
    </row>
    <row r="71" spans="2:12" ht="13.5" customHeight="1">
      <c r="B71" s="2068"/>
      <c r="C71" s="2063"/>
      <c r="D71" s="998" t="s">
        <v>348</v>
      </c>
      <c r="E71" s="2057"/>
      <c r="F71" s="2057"/>
      <c r="G71" s="2057"/>
      <c r="H71" s="2057"/>
      <c r="I71" s="2057"/>
      <c r="J71" s="2057"/>
      <c r="K71" s="2057"/>
      <c r="L71" s="2057"/>
    </row>
    <row r="72" spans="2:12" ht="30.75" customHeight="1">
      <c r="B72" s="2068"/>
      <c r="C72" s="2063"/>
      <c r="D72" s="1025" t="s">
        <v>369</v>
      </c>
      <c r="E72" s="2057"/>
      <c r="F72" s="2057"/>
      <c r="G72" s="2057"/>
      <c r="H72" s="2057"/>
      <c r="I72" s="2057"/>
      <c r="J72" s="2057"/>
      <c r="K72" s="2057"/>
      <c r="L72" s="2057"/>
    </row>
    <row r="73" spans="2:12" ht="14.25" customHeight="1">
      <c r="B73" s="2068"/>
      <c r="C73" s="2063"/>
      <c r="D73" s="998" t="s">
        <v>346</v>
      </c>
      <c r="E73" s="2057"/>
      <c r="F73" s="2057"/>
      <c r="G73" s="2057"/>
      <c r="H73" s="2057"/>
      <c r="I73" s="2057"/>
      <c r="J73" s="2057"/>
      <c r="K73" s="2057"/>
      <c r="L73" s="2057"/>
    </row>
    <row r="74" spans="2:12" ht="32.25" customHeight="1">
      <c r="B74" s="2068"/>
      <c r="C74" s="2064"/>
      <c r="D74" s="1024" t="s">
        <v>366</v>
      </c>
      <c r="E74" s="2057"/>
      <c r="F74" s="2057"/>
      <c r="G74" s="2057"/>
      <c r="H74" s="2057"/>
      <c r="I74" s="2057"/>
      <c r="J74" s="2057"/>
      <c r="K74" s="2057"/>
      <c r="L74" s="2057"/>
    </row>
    <row r="75" spans="2:12" ht="13.5" customHeight="1">
      <c r="B75" s="2050" t="s">
        <v>360</v>
      </c>
      <c r="C75" s="2051"/>
      <c r="D75" s="2052"/>
      <c r="E75" s="2052"/>
      <c r="F75" s="2052"/>
      <c r="G75" s="2052"/>
      <c r="H75" s="2052"/>
      <c r="I75" s="2052"/>
      <c r="J75" s="2052"/>
      <c r="K75" s="2052"/>
      <c r="L75" s="2052"/>
    </row>
    <row r="76" spans="2:12" ht="16.5" customHeight="1">
      <c r="B76" s="2082">
        <v>1133</v>
      </c>
      <c r="C76" s="2083"/>
      <c r="D76" s="998" t="s">
        <v>359</v>
      </c>
      <c r="E76" s="2057">
        <f t="shared" ref="E76:L76" si="4">E84</f>
        <v>149471.35999999999</v>
      </c>
      <c r="F76" s="2057">
        <f t="shared" si="4"/>
        <v>0</v>
      </c>
      <c r="G76" s="2057">
        <f t="shared" si="4"/>
        <v>126791</v>
      </c>
      <c r="H76" s="2057">
        <f t="shared" si="4"/>
        <v>285279.75</v>
      </c>
      <c r="I76" s="2057">
        <f t="shared" si="4"/>
        <v>443768.5</v>
      </c>
      <c r="J76" s="2057">
        <f t="shared" si="4"/>
        <v>633955</v>
      </c>
      <c r="K76" s="2057">
        <f t="shared" si="4"/>
        <v>65193.4</v>
      </c>
      <c r="L76" s="2057">
        <f t="shared" si="4"/>
        <v>7613.6</v>
      </c>
    </row>
    <row r="77" spans="2:12" ht="15.75" customHeight="1">
      <c r="B77" s="2082"/>
      <c r="C77" s="2083"/>
      <c r="D77" s="1023" t="s">
        <v>419</v>
      </c>
      <c r="E77" s="2057"/>
      <c r="F77" s="2057"/>
      <c r="G77" s="2057"/>
      <c r="H77" s="2057"/>
      <c r="I77" s="2057"/>
      <c r="J77" s="2057"/>
      <c r="K77" s="2057"/>
      <c r="L77" s="2057"/>
    </row>
    <row r="78" spans="2:12" ht="14.25" customHeight="1">
      <c r="B78" s="2082"/>
      <c r="C78" s="2083"/>
      <c r="D78" s="998" t="s">
        <v>358</v>
      </c>
      <c r="E78" s="2057"/>
      <c r="F78" s="2057"/>
      <c r="G78" s="2057"/>
      <c r="H78" s="2057"/>
      <c r="I78" s="2057"/>
      <c r="J78" s="2057"/>
      <c r="K78" s="2057"/>
      <c r="L78" s="2057"/>
    </row>
    <row r="79" spans="2:12" ht="37.5" customHeight="1">
      <c r="B79" s="2082"/>
      <c r="C79" s="2083"/>
      <c r="D79" s="1003" t="s">
        <v>418</v>
      </c>
      <c r="E79" s="2057"/>
      <c r="F79" s="2057"/>
      <c r="G79" s="2057"/>
      <c r="H79" s="2057"/>
      <c r="I79" s="2057"/>
      <c r="J79" s="2057"/>
      <c r="K79" s="2057"/>
      <c r="L79" s="2057"/>
    </row>
    <row r="80" spans="2:12" ht="17.25" customHeight="1">
      <c r="B80" s="2082"/>
      <c r="C80" s="2083"/>
      <c r="D80" s="998" t="s">
        <v>356</v>
      </c>
      <c r="E80" s="2057"/>
      <c r="F80" s="2057"/>
      <c r="G80" s="2057"/>
      <c r="H80" s="2057"/>
      <c r="I80" s="2057"/>
      <c r="J80" s="2057"/>
      <c r="K80" s="2057"/>
      <c r="L80" s="2057"/>
    </row>
    <row r="81" spans="2:12" ht="15" customHeight="1">
      <c r="B81" s="2072"/>
      <c r="C81" s="2083"/>
      <c r="D81" s="1012" t="s">
        <v>417</v>
      </c>
      <c r="E81" s="2057"/>
      <c r="F81" s="2057"/>
      <c r="G81" s="2057"/>
      <c r="H81" s="2057"/>
      <c r="I81" s="2057"/>
      <c r="J81" s="2057"/>
      <c r="K81" s="2057"/>
      <c r="L81" s="2057"/>
    </row>
    <row r="82" spans="2:12" ht="13.5" customHeight="1">
      <c r="B82" s="2050" t="s">
        <v>354</v>
      </c>
      <c r="C82" s="2051"/>
      <c r="D82" s="2081"/>
      <c r="E82" s="2081"/>
      <c r="F82" s="2081"/>
      <c r="G82" s="2081"/>
      <c r="H82" s="2081"/>
      <c r="I82" s="2081"/>
      <c r="J82" s="2081"/>
      <c r="K82" s="2081"/>
      <c r="L82" s="2081"/>
    </row>
    <row r="83" spans="2:12" ht="14.25" customHeight="1">
      <c r="B83" s="2090"/>
      <c r="C83" s="2090"/>
      <c r="D83" s="1002" t="s">
        <v>353</v>
      </c>
      <c r="E83" s="1001"/>
      <c r="F83" s="1001"/>
      <c r="G83" s="1001"/>
      <c r="H83" s="1001"/>
      <c r="I83" s="1001"/>
      <c r="J83" s="1001"/>
      <c r="K83" s="1001"/>
      <c r="L83" s="1000"/>
    </row>
    <row r="84" spans="2:12" ht="12.75" customHeight="1">
      <c r="B84" s="2068"/>
      <c r="C84" s="2072">
        <v>12001</v>
      </c>
      <c r="D84" s="998" t="s">
        <v>350</v>
      </c>
      <c r="E84" s="2084">
        <f>'Havelvac 3 mas 4 ՄԺԾԾ'!D176</f>
        <v>149471.35999999999</v>
      </c>
      <c r="F84" s="2084">
        <f>'Havelvac 3 mas 4 ՄԺԾԾ'!E176</f>
        <v>0</v>
      </c>
      <c r="G84" s="2084">
        <f>'Havelvac 3 mas 4 ՄԺԾԾ'!F176</f>
        <v>126791</v>
      </c>
      <c r="H84" s="2084">
        <f>'Havelvac 3 mas 4 ՄԺԾԾ'!G176</f>
        <v>285279.75</v>
      </c>
      <c r="I84" s="2084">
        <f>'Havelvac 3 mas 4 ՄԺԾԾ'!H176</f>
        <v>443768.5</v>
      </c>
      <c r="J84" s="2084">
        <f>'Havelvac 3 mas 4 ՄԺԾԾ'!I176</f>
        <v>633955</v>
      </c>
      <c r="K84" s="2084">
        <f>'Havelvac 3 mas 4 ՄԺԾԾ'!J176</f>
        <v>65193.4</v>
      </c>
      <c r="L84" s="2084">
        <f>'Havelvac 3 mas 4 ՄԺԾԾ'!K176</f>
        <v>7613.6</v>
      </c>
    </row>
    <row r="85" spans="2:12" ht="15" customHeight="1">
      <c r="B85" s="2068"/>
      <c r="C85" s="2073"/>
      <c r="D85" s="1009" t="s">
        <v>416</v>
      </c>
      <c r="E85" s="2085"/>
      <c r="F85" s="2085"/>
      <c r="G85" s="2085"/>
      <c r="H85" s="2085"/>
      <c r="I85" s="2085"/>
      <c r="J85" s="2085"/>
      <c r="K85" s="2085"/>
      <c r="L85" s="2085"/>
    </row>
    <row r="86" spans="2:12" ht="15.75" customHeight="1">
      <c r="B86" s="2068"/>
      <c r="C86" s="2073"/>
      <c r="D86" s="998" t="s">
        <v>348</v>
      </c>
      <c r="E86" s="2085"/>
      <c r="F86" s="2085"/>
      <c r="G86" s="2085"/>
      <c r="H86" s="2085"/>
      <c r="I86" s="2085"/>
      <c r="J86" s="2085"/>
      <c r="K86" s="2085"/>
      <c r="L86" s="2085"/>
    </row>
    <row r="87" spans="2:12" ht="53.25" customHeight="1">
      <c r="B87" s="2068"/>
      <c r="C87" s="2073"/>
      <c r="D87" s="1022" t="s">
        <v>415</v>
      </c>
      <c r="E87" s="2085"/>
      <c r="F87" s="2085"/>
      <c r="G87" s="2085"/>
      <c r="H87" s="2085"/>
      <c r="I87" s="2085"/>
      <c r="J87" s="2085"/>
      <c r="K87" s="2085"/>
      <c r="L87" s="2085"/>
    </row>
    <row r="88" spans="2:12" ht="12.75" customHeight="1">
      <c r="B88" s="2068"/>
      <c r="C88" s="2073"/>
      <c r="D88" s="998" t="s">
        <v>346</v>
      </c>
      <c r="E88" s="2085"/>
      <c r="F88" s="2085"/>
      <c r="G88" s="2085"/>
      <c r="H88" s="2085"/>
      <c r="I88" s="2085"/>
      <c r="J88" s="2085"/>
      <c r="K88" s="2085"/>
      <c r="L88" s="2085"/>
    </row>
    <row r="89" spans="2:12" ht="17.25" customHeight="1">
      <c r="B89" s="2068"/>
      <c r="C89" s="2074"/>
      <c r="D89" s="1014" t="s">
        <v>387</v>
      </c>
      <c r="E89" s="2086"/>
      <c r="F89" s="2086"/>
      <c r="G89" s="2086"/>
      <c r="H89" s="2086"/>
      <c r="I89" s="2086"/>
      <c r="J89" s="2086"/>
      <c r="K89" s="2086"/>
      <c r="L89" s="2086"/>
    </row>
    <row r="90" spans="2:12">
      <c r="B90" s="2050" t="s">
        <v>360</v>
      </c>
      <c r="C90" s="2051"/>
      <c r="D90" s="2052"/>
      <c r="E90" s="2052"/>
      <c r="F90" s="2052"/>
      <c r="G90" s="2052"/>
      <c r="H90" s="2052"/>
      <c r="I90" s="2052"/>
      <c r="J90" s="2052"/>
      <c r="K90" s="2052"/>
      <c r="L90" s="2052"/>
    </row>
    <row r="91" spans="2:12" ht="14.25" customHeight="1">
      <c r="B91" s="2082">
        <v>1155</v>
      </c>
      <c r="C91" s="2083"/>
      <c r="D91" s="998" t="s">
        <v>359</v>
      </c>
      <c r="E91" s="2057">
        <f t="shared" ref="E91:L91" si="5">E99+E105+E111+E117+E123+E129+E135+E141+E147+E153+E159+E165+E172</f>
        <v>1735985.36</v>
      </c>
      <c r="F91" s="2057">
        <f t="shared" si="5"/>
        <v>2840595.9000000004</v>
      </c>
      <c r="G91" s="2057">
        <f t="shared" si="5"/>
        <v>713289.7080000001</v>
      </c>
      <c r="H91" s="2057">
        <f t="shared" si="5"/>
        <v>1606419.923</v>
      </c>
      <c r="I91" s="2057">
        <f t="shared" si="5"/>
        <v>2501068.2179999999</v>
      </c>
      <c r="J91" s="2057">
        <f t="shared" si="5"/>
        <v>3574038.9400000004</v>
      </c>
      <c r="K91" s="2057">
        <f t="shared" si="5"/>
        <v>1515791.1</v>
      </c>
      <c r="L91" s="2057">
        <f t="shared" si="5"/>
        <v>1515791.1</v>
      </c>
    </row>
    <row r="92" spans="2:12" ht="27.75" customHeight="1">
      <c r="B92" s="2082"/>
      <c r="C92" s="2083"/>
      <c r="D92" s="999" t="s">
        <v>414</v>
      </c>
      <c r="E92" s="2057"/>
      <c r="F92" s="2057"/>
      <c r="G92" s="2057"/>
      <c r="H92" s="2057"/>
      <c r="I92" s="2057"/>
      <c r="J92" s="2057"/>
      <c r="K92" s="2057"/>
      <c r="L92" s="2057"/>
    </row>
    <row r="93" spans="2:12" ht="14.25" customHeight="1">
      <c r="B93" s="2082"/>
      <c r="C93" s="2083"/>
      <c r="D93" s="998" t="s">
        <v>358</v>
      </c>
      <c r="E93" s="2057"/>
      <c r="F93" s="2057"/>
      <c r="G93" s="2057"/>
      <c r="H93" s="2057"/>
      <c r="I93" s="2057"/>
      <c r="J93" s="2057"/>
      <c r="K93" s="2057"/>
      <c r="L93" s="2057"/>
    </row>
    <row r="94" spans="2:12" ht="28.5" customHeight="1">
      <c r="B94" s="2082"/>
      <c r="C94" s="2083"/>
      <c r="D94" s="1003" t="s">
        <v>413</v>
      </c>
      <c r="E94" s="2057"/>
      <c r="F94" s="2057"/>
      <c r="G94" s="2057"/>
      <c r="H94" s="2057"/>
      <c r="I94" s="2057"/>
      <c r="J94" s="2057"/>
      <c r="K94" s="2057"/>
      <c r="L94" s="2057"/>
    </row>
    <row r="95" spans="2:12" ht="15" customHeight="1">
      <c r="B95" s="2082"/>
      <c r="C95" s="2083"/>
      <c r="D95" s="998" t="s">
        <v>356</v>
      </c>
      <c r="E95" s="2057"/>
      <c r="F95" s="2057"/>
      <c r="G95" s="2057"/>
      <c r="H95" s="2057"/>
      <c r="I95" s="2057"/>
      <c r="J95" s="2057"/>
      <c r="K95" s="2057"/>
      <c r="L95" s="2057"/>
    </row>
    <row r="96" spans="2:12" ht="28.5" customHeight="1">
      <c r="B96" s="2072"/>
      <c r="C96" s="2083"/>
      <c r="D96" s="1021" t="s">
        <v>412</v>
      </c>
      <c r="E96" s="2057"/>
      <c r="F96" s="2057"/>
      <c r="G96" s="2057"/>
      <c r="H96" s="2057"/>
      <c r="I96" s="2057"/>
      <c r="J96" s="2057"/>
      <c r="K96" s="2057"/>
      <c r="L96" s="2057"/>
    </row>
    <row r="97" spans="2:12" ht="12.75" customHeight="1">
      <c r="B97" s="2050" t="s">
        <v>354</v>
      </c>
      <c r="C97" s="2051"/>
      <c r="D97" s="2081"/>
      <c r="E97" s="2081"/>
      <c r="F97" s="2081"/>
      <c r="G97" s="2081"/>
      <c r="H97" s="2081"/>
      <c r="I97" s="2081"/>
      <c r="J97" s="2081"/>
      <c r="K97" s="2081"/>
      <c r="L97" s="2081"/>
    </row>
    <row r="98" spans="2:12" ht="15" customHeight="1">
      <c r="B98" s="2090"/>
      <c r="C98" s="2090"/>
      <c r="D98" s="1002" t="s">
        <v>353</v>
      </c>
      <c r="E98" s="1001"/>
      <c r="F98" s="1001"/>
      <c r="G98" s="1001"/>
      <c r="H98" s="1001"/>
      <c r="I98" s="1001"/>
      <c r="J98" s="1001"/>
      <c r="K98" s="1001"/>
      <c r="L98" s="1000"/>
    </row>
    <row r="99" spans="2:12" ht="14.25" customHeight="1">
      <c r="B99" s="2068"/>
      <c r="C99" s="2072">
        <v>11001</v>
      </c>
      <c r="D99" s="998" t="s">
        <v>350</v>
      </c>
      <c r="E99" s="2087">
        <f>'Havelvac 3 mas 4 ՄԺԾԾ'!D199</f>
        <v>361660.37</v>
      </c>
      <c r="F99" s="2087">
        <f>'Havelvac 3 mas 4 ՄԺԾԾ'!E199</f>
        <v>423154.3</v>
      </c>
      <c r="G99" s="2087">
        <f>'Havelvac 3 mas 4 ՄԺԾԾ'!F199</f>
        <v>109365.788</v>
      </c>
      <c r="H99" s="2087">
        <f>'Havelvac 3 mas 4 ՄԺԾԾ'!G199</f>
        <v>246073.02299999999</v>
      </c>
      <c r="I99" s="2087">
        <f>'Havelvac 3 mas 4 ՄԺԾԾ'!H199</f>
        <v>382780.25799999991</v>
      </c>
      <c r="J99" s="2087">
        <f>'Havelvac 3 mas 4 ՄԺԾԾ'!I199</f>
        <v>546828.93999999994</v>
      </c>
      <c r="K99" s="2087">
        <f>'Havelvac 3 mas 4 ՄԺԾԾ'!J199</f>
        <v>0</v>
      </c>
      <c r="L99" s="2087">
        <f>'Havelvac 3 mas 4 ՄԺԾԾ'!K199</f>
        <v>0</v>
      </c>
    </row>
    <row r="100" spans="2:12" ht="69" customHeight="1">
      <c r="B100" s="2068"/>
      <c r="C100" s="2073"/>
      <c r="D100" s="1020" t="s">
        <v>411</v>
      </c>
      <c r="E100" s="2088"/>
      <c r="F100" s="2088"/>
      <c r="G100" s="2088"/>
      <c r="H100" s="2088"/>
      <c r="I100" s="2088"/>
      <c r="J100" s="2088"/>
      <c r="K100" s="2088"/>
      <c r="L100" s="2088"/>
    </row>
    <row r="101" spans="2:12" ht="12" customHeight="1">
      <c r="B101" s="2068"/>
      <c r="C101" s="2073"/>
      <c r="D101" s="998" t="s">
        <v>348</v>
      </c>
      <c r="E101" s="2088"/>
      <c r="F101" s="2088"/>
      <c r="G101" s="2088"/>
      <c r="H101" s="2088"/>
      <c r="I101" s="2088"/>
      <c r="J101" s="2088"/>
      <c r="K101" s="2088"/>
      <c r="L101" s="2088"/>
    </row>
    <row r="102" spans="2:12" ht="65.25" customHeight="1">
      <c r="B102" s="2068"/>
      <c r="C102" s="2073"/>
      <c r="D102" s="1019" t="s">
        <v>410</v>
      </c>
      <c r="E102" s="2088"/>
      <c r="F102" s="2088"/>
      <c r="G102" s="2088"/>
      <c r="H102" s="2088"/>
      <c r="I102" s="2088"/>
      <c r="J102" s="2088"/>
      <c r="K102" s="2088"/>
      <c r="L102" s="2088"/>
    </row>
    <row r="103" spans="2:12" ht="17.25" customHeight="1">
      <c r="B103" s="2068"/>
      <c r="C103" s="2073"/>
      <c r="D103" s="998" t="s">
        <v>346</v>
      </c>
      <c r="E103" s="2088"/>
      <c r="F103" s="2088"/>
      <c r="G103" s="2088"/>
      <c r="H103" s="2088"/>
      <c r="I103" s="2088"/>
      <c r="J103" s="2088"/>
      <c r="K103" s="2088"/>
      <c r="L103" s="2088"/>
    </row>
    <row r="104" spans="2:12" ht="18" customHeight="1">
      <c r="B104" s="2068"/>
      <c r="C104" s="2074"/>
      <c r="D104" s="1009" t="s">
        <v>345</v>
      </c>
      <c r="E104" s="2089"/>
      <c r="F104" s="2089"/>
      <c r="G104" s="2089"/>
      <c r="H104" s="2089"/>
      <c r="I104" s="2089"/>
      <c r="J104" s="2089"/>
      <c r="K104" s="2089"/>
      <c r="L104" s="2089"/>
    </row>
    <row r="105" spans="2:12" ht="13.5" customHeight="1">
      <c r="B105" s="2068"/>
      <c r="C105" s="2072">
        <v>11002</v>
      </c>
      <c r="D105" s="998" t="s">
        <v>350</v>
      </c>
      <c r="E105" s="2087">
        <f>'Havelvac 3 mas 4 ՄԺԾԾ'!D214</f>
        <v>114375.76</v>
      </c>
      <c r="F105" s="2087">
        <f>'Havelvac 3 mas 4 ՄԺԾԾ'!E214</f>
        <v>208238.5</v>
      </c>
      <c r="G105" s="2087">
        <f>'Havelvac 3 mas 4 ՄԺԾԾ'!F214</f>
        <v>43360.820000000007</v>
      </c>
      <c r="H105" s="2087">
        <f>'Havelvac 3 mas 4 ՄԺԾԾ'!G214</f>
        <v>97561.845000000001</v>
      </c>
      <c r="I105" s="2087">
        <f>'Havelvac 3 mas 4 ՄԺԾԾ'!H214</f>
        <v>151762.87</v>
      </c>
      <c r="J105" s="2087">
        <f>'Havelvac 3 mas 4 ՄԺԾԾ'!I214</f>
        <v>216804.1</v>
      </c>
      <c r="K105" s="2087">
        <f>'Havelvac 3 mas 4 ՄԺԾԾ'!J214</f>
        <v>216804.1</v>
      </c>
      <c r="L105" s="2087">
        <f>'Havelvac 3 mas 4 ՄԺԾԾ'!K214</f>
        <v>216804.1</v>
      </c>
    </row>
    <row r="106" spans="2:12" ht="13.5" customHeight="1">
      <c r="B106" s="2068"/>
      <c r="C106" s="2073"/>
      <c r="D106" s="999" t="s">
        <v>409</v>
      </c>
      <c r="E106" s="2088"/>
      <c r="F106" s="2088"/>
      <c r="G106" s="2088"/>
      <c r="H106" s="2088"/>
      <c r="I106" s="2088"/>
      <c r="J106" s="2088"/>
      <c r="K106" s="2088"/>
      <c r="L106" s="2088"/>
    </row>
    <row r="107" spans="2:12" ht="13.5" customHeight="1">
      <c r="B107" s="2068"/>
      <c r="C107" s="2073"/>
      <c r="D107" s="998" t="s">
        <v>348</v>
      </c>
      <c r="E107" s="2088"/>
      <c r="F107" s="2088"/>
      <c r="G107" s="2088"/>
      <c r="H107" s="2088"/>
      <c r="I107" s="2088"/>
      <c r="J107" s="2088"/>
      <c r="K107" s="2088"/>
      <c r="L107" s="2088"/>
    </row>
    <row r="108" spans="2:12" ht="24.75" customHeight="1">
      <c r="B108" s="2068"/>
      <c r="C108" s="2073"/>
      <c r="D108" s="1013" t="s">
        <v>408</v>
      </c>
      <c r="E108" s="2088"/>
      <c r="F108" s="2088"/>
      <c r="G108" s="2088"/>
      <c r="H108" s="2088"/>
      <c r="I108" s="2088"/>
      <c r="J108" s="2088"/>
      <c r="K108" s="2088"/>
      <c r="L108" s="2088"/>
    </row>
    <row r="109" spans="2:12" ht="12" customHeight="1">
      <c r="B109" s="2068"/>
      <c r="C109" s="2073"/>
      <c r="D109" s="998" t="s">
        <v>346</v>
      </c>
      <c r="E109" s="2088"/>
      <c r="F109" s="2088"/>
      <c r="G109" s="2088"/>
      <c r="H109" s="2088"/>
      <c r="I109" s="2088"/>
      <c r="J109" s="2088"/>
      <c r="K109" s="2088"/>
      <c r="L109" s="2088"/>
    </row>
    <row r="110" spans="2:12" ht="12.75" customHeight="1">
      <c r="B110" s="2068"/>
      <c r="C110" s="2074"/>
      <c r="D110" s="1009" t="s">
        <v>345</v>
      </c>
      <c r="E110" s="2089"/>
      <c r="F110" s="2089"/>
      <c r="G110" s="2089"/>
      <c r="H110" s="2089"/>
      <c r="I110" s="2089"/>
      <c r="J110" s="2089"/>
      <c r="K110" s="2089"/>
      <c r="L110" s="2089"/>
    </row>
    <row r="111" spans="2:12" ht="13.5" customHeight="1">
      <c r="B111" s="2068"/>
      <c r="C111" s="2072">
        <v>11003</v>
      </c>
      <c r="D111" s="998" t="s">
        <v>350</v>
      </c>
      <c r="E111" s="2087">
        <f>'Havelvac 3 mas 4 ՄԺԾԾ'!D228</f>
        <v>6690</v>
      </c>
      <c r="F111" s="2087">
        <f>'Havelvac 3 mas 4 ՄԺԾԾ'!E228</f>
        <v>7624.3</v>
      </c>
      <c r="G111" s="2087">
        <f>'Havelvac 3 mas 4 ՄԺԾԾ'!F228</f>
        <v>0</v>
      </c>
      <c r="H111" s="2087">
        <f>'Havelvac 3 mas 4 ՄԺԾԾ'!G228</f>
        <v>1518.08</v>
      </c>
      <c r="I111" s="2087">
        <f>'Havelvac 3 mas 4 ՄԺԾԾ'!H228</f>
        <v>4554.24</v>
      </c>
      <c r="J111" s="2087">
        <f>'Havelvac 3 mas 4 ՄԺԾԾ'!I228</f>
        <v>7590.4</v>
      </c>
      <c r="K111" s="2087">
        <f>'Havelvac 3 mas 4 ՄԺԾԾ'!J228</f>
        <v>7590.4</v>
      </c>
      <c r="L111" s="2087">
        <f>'Havelvac 3 mas 4 ՄԺԾԾ'!K228</f>
        <v>7590.4</v>
      </c>
    </row>
    <row r="112" spans="2:12" ht="26.25" customHeight="1">
      <c r="B112" s="2068"/>
      <c r="C112" s="2073"/>
      <c r="D112" s="999" t="s">
        <v>407</v>
      </c>
      <c r="E112" s="2088"/>
      <c r="F112" s="2088"/>
      <c r="G112" s="2088"/>
      <c r="H112" s="2088"/>
      <c r="I112" s="2088"/>
      <c r="J112" s="2088"/>
      <c r="K112" s="2088"/>
      <c r="L112" s="2088"/>
    </row>
    <row r="113" spans="2:12" ht="14.25" customHeight="1">
      <c r="B113" s="2068"/>
      <c r="C113" s="2073"/>
      <c r="D113" s="998" t="s">
        <v>348</v>
      </c>
      <c r="E113" s="2088"/>
      <c r="F113" s="2088"/>
      <c r="G113" s="2088"/>
      <c r="H113" s="2088"/>
      <c r="I113" s="2088"/>
      <c r="J113" s="2088"/>
      <c r="K113" s="2088"/>
      <c r="L113" s="2088"/>
    </row>
    <row r="114" spans="2:12" ht="26.25" customHeight="1">
      <c r="B114" s="2068"/>
      <c r="C114" s="2073"/>
      <c r="D114" s="1013" t="s">
        <v>406</v>
      </c>
      <c r="E114" s="2088"/>
      <c r="F114" s="2088"/>
      <c r="G114" s="2088"/>
      <c r="H114" s="2088"/>
      <c r="I114" s="2088"/>
      <c r="J114" s="2088"/>
      <c r="K114" s="2088"/>
      <c r="L114" s="2088"/>
    </row>
    <row r="115" spans="2:12" ht="15.75" customHeight="1">
      <c r="B115" s="2068"/>
      <c r="C115" s="2073"/>
      <c r="D115" s="998" t="s">
        <v>346</v>
      </c>
      <c r="E115" s="2088"/>
      <c r="F115" s="2088"/>
      <c r="G115" s="2088"/>
      <c r="H115" s="2088"/>
      <c r="I115" s="2088"/>
      <c r="J115" s="2088"/>
      <c r="K115" s="2088"/>
      <c r="L115" s="2088"/>
    </row>
    <row r="116" spans="2:12" ht="14.25" customHeight="1">
      <c r="B116" s="2068"/>
      <c r="C116" s="2074"/>
      <c r="D116" s="1009" t="s">
        <v>345</v>
      </c>
      <c r="E116" s="2089"/>
      <c r="F116" s="2089"/>
      <c r="G116" s="2089"/>
      <c r="H116" s="2089"/>
      <c r="I116" s="2089"/>
      <c r="J116" s="2089"/>
      <c r="K116" s="2089"/>
      <c r="L116" s="2089"/>
    </row>
    <row r="117" spans="2:12" ht="15" customHeight="1">
      <c r="B117" s="2068"/>
      <c r="C117" s="2072">
        <v>11004</v>
      </c>
      <c r="D117" s="998" t="s">
        <v>350</v>
      </c>
      <c r="E117" s="2087">
        <f>'Havelvac 3 mas 4 ՄԺԾԾ'!D249</f>
        <v>372692.7</v>
      </c>
      <c r="F117" s="2087">
        <f>'Havelvac 3 mas 4 ՄԺԾԾ'!E249</f>
        <v>303897.7</v>
      </c>
      <c r="G117" s="2087">
        <f>'Havelvac 3 mas 4 ՄԺԾԾ'!F249</f>
        <v>60779.540000000008</v>
      </c>
      <c r="H117" s="2087">
        <f>'Havelvac 3 mas 4 ՄԺԾԾ'!G249</f>
        <v>136753.965</v>
      </c>
      <c r="I117" s="2087">
        <f>'Havelvac 3 mas 4 ՄԺԾԾ'!H249</f>
        <v>212728.38999999998</v>
      </c>
      <c r="J117" s="2087">
        <f>'Havelvac 3 mas 4 ՄԺԾԾ'!I249</f>
        <v>303897.7</v>
      </c>
      <c r="K117" s="2087">
        <f>'Havelvac 3 mas 4 ՄԺԾԾ'!J249</f>
        <v>303897.7</v>
      </c>
      <c r="L117" s="2087">
        <f>'Havelvac 3 mas 4 ՄԺԾԾ'!K249</f>
        <v>303897.7</v>
      </c>
    </row>
    <row r="118" spans="2:12" ht="41.25" customHeight="1">
      <c r="B118" s="2068"/>
      <c r="C118" s="2073"/>
      <c r="D118" s="999" t="s">
        <v>405</v>
      </c>
      <c r="E118" s="2088"/>
      <c r="F118" s="2088"/>
      <c r="G118" s="2088"/>
      <c r="H118" s="2088"/>
      <c r="I118" s="2088"/>
      <c r="J118" s="2088"/>
      <c r="K118" s="2088"/>
      <c r="L118" s="2088"/>
    </row>
    <row r="119" spans="2:12" ht="12" customHeight="1">
      <c r="B119" s="2068"/>
      <c r="C119" s="2073"/>
      <c r="D119" s="998" t="s">
        <v>348</v>
      </c>
      <c r="E119" s="2088"/>
      <c r="F119" s="2088"/>
      <c r="G119" s="2088"/>
      <c r="H119" s="2088"/>
      <c r="I119" s="2088"/>
      <c r="J119" s="2088"/>
      <c r="K119" s="2088"/>
      <c r="L119" s="2088"/>
    </row>
    <row r="120" spans="2:12" ht="38.25" customHeight="1">
      <c r="B120" s="2068"/>
      <c r="C120" s="2073"/>
      <c r="D120" s="1009" t="s">
        <v>404</v>
      </c>
      <c r="E120" s="2088"/>
      <c r="F120" s="2088"/>
      <c r="G120" s="2088"/>
      <c r="H120" s="2088"/>
      <c r="I120" s="2088"/>
      <c r="J120" s="2088"/>
      <c r="K120" s="2088"/>
      <c r="L120" s="2088"/>
    </row>
    <row r="121" spans="2:12" ht="15" customHeight="1">
      <c r="B121" s="2068"/>
      <c r="C121" s="2073"/>
      <c r="D121" s="998" t="s">
        <v>346</v>
      </c>
      <c r="E121" s="2088"/>
      <c r="F121" s="2088"/>
      <c r="G121" s="2088"/>
      <c r="H121" s="2088"/>
      <c r="I121" s="2088"/>
      <c r="J121" s="2088"/>
      <c r="K121" s="2088"/>
      <c r="L121" s="2088"/>
    </row>
    <row r="122" spans="2:12" ht="12.75" customHeight="1">
      <c r="B122" s="2068"/>
      <c r="C122" s="2074"/>
      <c r="D122" s="1009" t="s">
        <v>345</v>
      </c>
      <c r="E122" s="2089"/>
      <c r="F122" s="2089"/>
      <c r="G122" s="2089"/>
      <c r="H122" s="2089"/>
      <c r="I122" s="2089"/>
      <c r="J122" s="2089"/>
      <c r="K122" s="2089"/>
      <c r="L122" s="2089"/>
    </row>
    <row r="123" spans="2:12" ht="15.75" customHeight="1">
      <c r="B123" s="2068"/>
      <c r="C123" s="2072">
        <v>11005</v>
      </c>
      <c r="D123" s="998" t="s">
        <v>350</v>
      </c>
      <c r="E123" s="2057">
        <f>'Havelvac 3 mas 4 ՄԺԾԾ'!D268</f>
        <v>201475.3</v>
      </c>
      <c r="F123" s="2057">
        <f>'Havelvac 3 mas 4 ՄԺԾԾ'!E268</f>
        <v>164366.29999999999</v>
      </c>
      <c r="G123" s="2057">
        <f>'Havelvac 3 mas 4 ՄԺԾԾ'!F268</f>
        <v>32873.26</v>
      </c>
      <c r="H123" s="2057">
        <f>'Havelvac 3 mas 4 ՄԺԾԾ'!G268</f>
        <v>73964.834999999992</v>
      </c>
      <c r="I123" s="2057">
        <f>'Havelvac 3 mas 4 ՄԺԾԾ'!H268</f>
        <v>115056.40999999999</v>
      </c>
      <c r="J123" s="2057">
        <f>'Havelvac 3 mas 4 ՄԺԾԾ'!I268</f>
        <v>164366.29999999999</v>
      </c>
      <c r="K123" s="2057">
        <f>'Havelvac 3 mas 4 ՄԺԾԾ'!J268</f>
        <v>164366.29999999999</v>
      </c>
      <c r="L123" s="2057">
        <f>'Havelvac 3 mas 4 ՄԺԾԾ'!K268</f>
        <v>164366.29999999999</v>
      </c>
    </row>
    <row r="124" spans="2:12" ht="39" customHeight="1">
      <c r="B124" s="2068"/>
      <c r="C124" s="2073"/>
      <c r="D124" s="999" t="s">
        <v>403</v>
      </c>
      <c r="E124" s="2057"/>
      <c r="F124" s="2057"/>
      <c r="G124" s="2057"/>
      <c r="H124" s="2057"/>
      <c r="I124" s="2057"/>
      <c r="J124" s="2057"/>
      <c r="K124" s="2057"/>
      <c r="L124" s="2057"/>
    </row>
    <row r="125" spans="2:12" ht="12.75" customHeight="1">
      <c r="B125" s="2068"/>
      <c r="C125" s="2073"/>
      <c r="D125" s="998" t="s">
        <v>348</v>
      </c>
      <c r="E125" s="2057"/>
      <c r="F125" s="2057"/>
      <c r="G125" s="2057"/>
      <c r="H125" s="2057"/>
      <c r="I125" s="2057"/>
      <c r="J125" s="2057"/>
      <c r="K125" s="2057"/>
      <c r="L125" s="2057"/>
    </row>
    <row r="126" spans="2:12" ht="40.5" customHeight="1">
      <c r="B126" s="2068"/>
      <c r="C126" s="2073"/>
      <c r="D126" s="1009" t="s">
        <v>402</v>
      </c>
      <c r="E126" s="2057"/>
      <c r="F126" s="2057"/>
      <c r="G126" s="2057"/>
      <c r="H126" s="2057"/>
      <c r="I126" s="2057"/>
      <c r="J126" s="2057"/>
      <c r="K126" s="2057"/>
      <c r="L126" s="2057"/>
    </row>
    <row r="127" spans="2:12" ht="12" customHeight="1">
      <c r="B127" s="2068"/>
      <c r="C127" s="2073"/>
      <c r="D127" s="998" t="s">
        <v>346</v>
      </c>
      <c r="E127" s="2057"/>
      <c r="F127" s="2057"/>
      <c r="G127" s="2057"/>
      <c r="H127" s="2057"/>
      <c r="I127" s="2057"/>
      <c r="J127" s="2057"/>
      <c r="K127" s="2057"/>
      <c r="L127" s="2057"/>
    </row>
    <row r="128" spans="2:12" ht="14.25" customHeight="1">
      <c r="B128" s="2068"/>
      <c r="C128" s="2074"/>
      <c r="D128" s="1009" t="s">
        <v>345</v>
      </c>
      <c r="E128" s="2057"/>
      <c r="F128" s="2057"/>
      <c r="G128" s="2057"/>
      <c r="H128" s="2057"/>
      <c r="I128" s="2057"/>
      <c r="J128" s="2057"/>
      <c r="K128" s="2057"/>
      <c r="L128" s="2057"/>
    </row>
    <row r="129" spans="2:12" ht="12.75" customHeight="1">
      <c r="B129" s="2068"/>
      <c r="C129" s="2072">
        <v>11006</v>
      </c>
      <c r="D129" s="998" t="s">
        <v>350</v>
      </c>
      <c r="E129" s="2057">
        <f>'Havelvac 3 mas 4 ՄԺԾԾ'!D287</f>
        <v>190339.5</v>
      </c>
      <c r="F129" s="2057">
        <f>'Havelvac 3 mas 4 ՄԺԾԾ'!E287</f>
        <v>169254.1</v>
      </c>
      <c r="G129" s="2057">
        <f>'Havelvac 3 mas 4 ՄԺԾԾ'!F287</f>
        <v>77656.819999999992</v>
      </c>
      <c r="H129" s="2057">
        <f>'Havelvac 3 mas 4 ՄԺԾԾ'!G287</f>
        <v>174727.845</v>
      </c>
      <c r="I129" s="2057">
        <f>'Havelvac 3 mas 4 ՄԺԾԾ'!H287</f>
        <v>271798.87</v>
      </c>
      <c r="J129" s="2057">
        <f>'Havelvac 3 mas 4 ՄԺԾԾ'!I287</f>
        <v>388284.1</v>
      </c>
      <c r="K129" s="2057">
        <f>'Havelvac 3 mas 4 ՄԺԾԾ'!J287</f>
        <v>388284.1</v>
      </c>
      <c r="L129" s="2057">
        <f>'Havelvac 3 mas 4 ՄԺԾԾ'!K287</f>
        <v>388284.1</v>
      </c>
    </row>
    <row r="130" spans="2:12" ht="39.75" customHeight="1">
      <c r="B130" s="2068"/>
      <c r="C130" s="2073"/>
      <c r="D130" s="1009" t="s">
        <v>401</v>
      </c>
      <c r="E130" s="2057"/>
      <c r="F130" s="2057"/>
      <c r="G130" s="2057"/>
      <c r="H130" s="2057"/>
      <c r="I130" s="2057"/>
      <c r="J130" s="2057"/>
      <c r="K130" s="2057"/>
      <c r="L130" s="2057"/>
    </row>
    <row r="131" spans="2:12" ht="15" customHeight="1">
      <c r="B131" s="2068"/>
      <c r="C131" s="2073"/>
      <c r="D131" s="998" t="s">
        <v>348</v>
      </c>
      <c r="E131" s="2057"/>
      <c r="F131" s="2057"/>
      <c r="G131" s="2057"/>
      <c r="H131" s="2057"/>
      <c r="I131" s="2057"/>
      <c r="J131" s="2057"/>
      <c r="K131" s="2057"/>
      <c r="L131" s="2057"/>
    </row>
    <row r="132" spans="2:12" ht="39" customHeight="1">
      <c r="B132" s="2068"/>
      <c r="C132" s="2073"/>
      <c r="D132" s="1009" t="s">
        <v>400</v>
      </c>
      <c r="E132" s="2057"/>
      <c r="F132" s="2057"/>
      <c r="G132" s="2057"/>
      <c r="H132" s="2057"/>
      <c r="I132" s="2057"/>
      <c r="J132" s="2057"/>
      <c r="K132" s="2057"/>
      <c r="L132" s="2057"/>
    </row>
    <row r="133" spans="2:12" ht="15" customHeight="1">
      <c r="B133" s="2068"/>
      <c r="C133" s="2073"/>
      <c r="D133" s="998" t="s">
        <v>346</v>
      </c>
      <c r="E133" s="2057"/>
      <c r="F133" s="2057"/>
      <c r="G133" s="2057"/>
      <c r="H133" s="2057"/>
      <c r="I133" s="2057"/>
      <c r="J133" s="2057"/>
      <c r="K133" s="2057"/>
      <c r="L133" s="2057"/>
    </row>
    <row r="134" spans="2:12" ht="12.75" customHeight="1">
      <c r="B134" s="2068"/>
      <c r="C134" s="2074"/>
      <c r="D134" s="1009" t="s">
        <v>345</v>
      </c>
      <c r="E134" s="2057"/>
      <c r="F134" s="2057"/>
      <c r="G134" s="2057"/>
      <c r="H134" s="2057"/>
      <c r="I134" s="2057"/>
      <c r="J134" s="2057"/>
      <c r="K134" s="2057"/>
      <c r="L134" s="2057"/>
    </row>
    <row r="135" spans="2:12" ht="13.5" customHeight="1">
      <c r="B135" s="2068"/>
      <c r="C135" s="2072">
        <v>11007</v>
      </c>
      <c r="D135" s="998" t="s">
        <v>350</v>
      </c>
      <c r="E135" s="2057">
        <f>'Havelvac 3 mas 4 ՄԺԾԾ'!D305</f>
        <v>188497.7</v>
      </c>
      <c r="F135" s="2057">
        <f>'Havelvac 3 mas 4 ՄԺԾԾ'!E305</f>
        <v>152887.29999999999</v>
      </c>
      <c r="G135" s="2057">
        <f>'Havelvac 3 mas 4 ՄԺԾԾ'!F305</f>
        <v>34306.559999999998</v>
      </c>
      <c r="H135" s="2057">
        <f>'Havelvac 3 mas 4 ՄԺԾԾ'!G305</f>
        <v>77189.759999999995</v>
      </c>
      <c r="I135" s="2057">
        <f>'Havelvac 3 mas 4 ՄԺԾԾ'!H305</f>
        <v>120072.95999999998</v>
      </c>
      <c r="J135" s="2057">
        <f>'Havelvac 3 mas 4 ՄԺԾԾ'!I305</f>
        <v>171532.79999999999</v>
      </c>
      <c r="K135" s="2057">
        <f>'Havelvac 3 mas 4 ՄԺԾԾ'!J305</f>
        <v>171532.79999999999</v>
      </c>
      <c r="L135" s="2057">
        <f>'Havelvac 3 mas 4 ՄԺԾԾ'!K305</f>
        <v>171532.79999999999</v>
      </c>
    </row>
    <row r="136" spans="2:12" ht="24.75" customHeight="1">
      <c r="B136" s="2068"/>
      <c r="C136" s="2073"/>
      <c r="D136" s="999" t="s">
        <v>399</v>
      </c>
      <c r="E136" s="2057"/>
      <c r="F136" s="2057"/>
      <c r="G136" s="2057"/>
      <c r="H136" s="2057"/>
      <c r="I136" s="2057"/>
      <c r="J136" s="2057"/>
      <c r="K136" s="2057"/>
      <c r="L136" s="2057"/>
    </row>
    <row r="137" spans="2:12" ht="12.75" customHeight="1">
      <c r="B137" s="2068"/>
      <c r="C137" s="2073"/>
      <c r="D137" s="998" t="s">
        <v>348</v>
      </c>
      <c r="E137" s="2057"/>
      <c r="F137" s="2057"/>
      <c r="G137" s="2057"/>
      <c r="H137" s="2057"/>
      <c r="I137" s="2057"/>
      <c r="J137" s="2057"/>
      <c r="K137" s="2057"/>
      <c r="L137" s="2057"/>
    </row>
    <row r="138" spans="2:12" ht="39.75" customHeight="1">
      <c r="B138" s="2068"/>
      <c r="C138" s="2073"/>
      <c r="D138" s="1009" t="s">
        <v>398</v>
      </c>
      <c r="E138" s="2057"/>
      <c r="F138" s="2057"/>
      <c r="G138" s="2057"/>
      <c r="H138" s="2057"/>
      <c r="I138" s="2057"/>
      <c r="J138" s="2057"/>
      <c r="K138" s="2057"/>
      <c r="L138" s="2057"/>
    </row>
    <row r="139" spans="2:12" ht="12.75" customHeight="1">
      <c r="B139" s="2068"/>
      <c r="C139" s="2073"/>
      <c r="D139" s="998" t="s">
        <v>346</v>
      </c>
      <c r="E139" s="2057"/>
      <c r="F139" s="2057"/>
      <c r="G139" s="2057"/>
      <c r="H139" s="2057"/>
      <c r="I139" s="2057"/>
      <c r="J139" s="2057"/>
      <c r="K139" s="2057"/>
      <c r="L139" s="2057"/>
    </row>
    <row r="140" spans="2:12" ht="12" customHeight="1">
      <c r="B140" s="2068"/>
      <c r="C140" s="2074"/>
      <c r="D140" s="1018" t="s">
        <v>345</v>
      </c>
      <c r="E140" s="2057"/>
      <c r="F140" s="2057"/>
      <c r="G140" s="2057"/>
      <c r="H140" s="2057"/>
      <c r="I140" s="2057"/>
      <c r="J140" s="2057"/>
      <c r="K140" s="2057"/>
      <c r="L140" s="2057"/>
    </row>
    <row r="141" spans="2:12" ht="14.25" customHeight="1">
      <c r="B141" s="2068"/>
      <c r="C141" s="2072">
        <v>11008</v>
      </c>
      <c r="D141" s="998" t="s">
        <v>350</v>
      </c>
      <c r="E141" s="2057">
        <f>'Havelvac 3 mas 4 ՄԺԾԾ'!D325</f>
        <v>73869.100000000006</v>
      </c>
      <c r="F141" s="2057">
        <f>'Havelvac 3 mas 4 ՄԺԾԾ'!E325</f>
        <v>55404.9</v>
      </c>
      <c r="G141" s="2057">
        <f>'Havelvac 3 mas 4 ՄԺԾԾ'!F325</f>
        <v>14152.98</v>
      </c>
      <c r="H141" s="2057">
        <f>'Havelvac 3 mas 4 ՄԺԾԾ'!G325</f>
        <v>31844.204999999998</v>
      </c>
      <c r="I141" s="2057">
        <f>'Havelvac 3 mas 4 ՄԺԾԾ'!H325</f>
        <v>49535.429999999993</v>
      </c>
      <c r="J141" s="2057">
        <f>'Havelvac 3 mas 4 ՄԺԾԾ'!I325</f>
        <v>70764.899999999994</v>
      </c>
      <c r="K141" s="2057">
        <f>'Havelvac 3 mas 4 ՄԺԾԾ'!J325</f>
        <v>70764.899999999994</v>
      </c>
      <c r="L141" s="2057">
        <f>'Havelvac 3 mas 4 ՄԺԾԾ'!K325</f>
        <v>70764.899999999994</v>
      </c>
    </row>
    <row r="142" spans="2:12" ht="40.5" customHeight="1">
      <c r="B142" s="2068"/>
      <c r="C142" s="2073"/>
      <c r="D142" s="1017" t="s">
        <v>397</v>
      </c>
      <c r="E142" s="2057"/>
      <c r="F142" s="2057"/>
      <c r="G142" s="2057"/>
      <c r="H142" s="2057"/>
      <c r="I142" s="2057"/>
      <c r="J142" s="2057"/>
      <c r="K142" s="2057"/>
      <c r="L142" s="2057"/>
    </row>
    <row r="143" spans="2:12" ht="16.5" customHeight="1">
      <c r="B143" s="2068"/>
      <c r="C143" s="2073"/>
      <c r="D143" s="998" t="s">
        <v>348</v>
      </c>
      <c r="E143" s="2057"/>
      <c r="F143" s="2057"/>
      <c r="G143" s="2057"/>
      <c r="H143" s="2057"/>
      <c r="I143" s="2057"/>
      <c r="J143" s="2057"/>
      <c r="K143" s="2057"/>
      <c r="L143" s="2057"/>
    </row>
    <row r="144" spans="2:12" ht="45" customHeight="1">
      <c r="B144" s="2068"/>
      <c r="C144" s="2073"/>
      <c r="D144" s="1017" t="s">
        <v>396</v>
      </c>
      <c r="E144" s="2057"/>
      <c r="F144" s="2057"/>
      <c r="G144" s="2057"/>
      <c r="H144" s="2057"/>
      <c r="I144" s="2057"/>
      <c r="J144" s="2057"/>
      <c r="K144" s="2057"/>
      <c r="L144" s="2057"/>
    </row>
    <row r="145" spans="2:12" ht="15" customHeight="1">
      <c r="B145" s="2068"/>
      <c r="C145" s="2073"/>
      <c r="D145" s="998" t="s">
        <v>346</v>
      </c>
      <c r="E145" s="2057"/>
      <c r="F145" s="2057"/>
      <c r="G145" s="2057"/>
      <c r="H145" s="2057"/>
      <c r="I145" s="2057"/>
      <c r="J145" s="2057"/>
      <c r="K145" s="2057"/>
      <c r="L145" s="2057"/>
    </row>
    <row r="146" spans="2:12" ht="13.5" customHeight="1">
      <c r="B146" s="2068"/>
      <c r="C146" s="2074"/>
      <c r="D146" s="1009" t="s">
        <v>345</v>
      </c>
      <c r="E146" s="2057"/>
      <c r="F146" s="2057"/>
      <c r="G146" s="2057"/>
      <c r="H146" s="2057"/>
      <c r="I146" s="2057"/>
      <c r="J146" s="2057"/>
      <c r="K146" s="2057"/>
      <c r="L146" s="2057"/>
    </row>
    <row r="147" spans="2:12" ht="14.25" customHeight="1">
      <c r="B147" s="2068"/>
      <c r="C147" s="2072">
        <v>11009</v>
      </c>
      <c r="D147" s="998" t="s">
        <v>350</v>
      </c>
      <c r="E147" s="2057">
        <f>'Havelvac 3 mas 4 ՄԺԾԾ'!D346</f>
        <v>15102.2</v>
      </c>
      <c r="F147" s="2057">
        <f>'Havelvac 3 mas 4 ՄԺԾԾ'!E346</f>
        <v>16026.6</v>
      </c>
      <c r="G147" s="2057">
        <f>'Havelvac 3 mas 4 ՄԺԾԾ'!F346</f>
        <v>3205.32</v>
      </c>
      <c r="H147" s="2057">
        <f>'Havelvac 3 mas 4 ՄԺԾԾ'!G346</f>
        <v>7211.97</v>
      </c>
      <c r="I147" s="2057">
        <f>'Havelvac 3 mas 4 ՄԺԾԾ'!H346</f>
        <v>11218.619999999999</v>
      </c>
      <c r="J147" s="2057">
        <f>'Havelvac 3 mas 4 ՄԺԾԾ'!I346</f>
        <v>16026.6</v>
      </c>
      <c r="K147" s="2057" t="str">
        <f>'Havelvac 3 mas 4 ՄԺԾԾ'!J346</f>
        <v>16026.6</v>
      </c>
      <c r="L147" s="2057" t="str">
        <f>'Havelvac 3 mas 4 ՄԺԾԾ'!K346</f>
        <v>16026.6</v>
      </c>
    </row>
    <row r="148" spans="2:12" ht="44.25" customHeight="1">
      <c r="B148" s="2068"/>
      <c r="C148" s="2073"/>
      <c r="D148" s="1009" t="s">
        <v>395</v>
      </c>
      <c r="E148" s="2057"/>
      <c r="F148" s="2057"/>
      <c r="G148" s="2057"/>
      <c r="H148" s="2057"/>
      <c r="I148" s="2057"/>
      <c r="J148" s="2057"/>
      <c r="K148" s="2057"/>
      <c r="L148" s="2057"/>
    </row>
    <row r="149" spans="2:12" ht="15.75" customHeight="1">
      <c r="B149" s="2068"/>
      <c r="C149" s="2073"/>
      <c r="D149" s="998" t="s">
        <v>348</v>
      </c>
      <c r="E149" s="2057"/>
      <c r="F149" s="2057"/>
      <c r="G149" s="2057"/>
      <c r="H149" s="2057"/>
      <c r="I149" s="2057"/>
      <c r="J149" s="2057"/>
      <c r="K149" s="2057"/>
      <c r="L149" s="2057"/>
    </row>
    <row r="150" spans="2:12" ht="39" customHeight="1">
      <c r="B150" s="2068"/>
      <c r="C150" s="2073"/>
      <c r="D150" s="1016" t="s">
        <v>394</v>
      </c>
      <c r="E150" s="2057"/>
      <c r="F150" s="2057"/>
      <c r="G150" s="2057"/>
      <c r="H150" s="2057"/>
      <c r="I150" s="2057"/>
      <c r="J150" s="2057"/>
      <c r="K150" s="2057"/>
      <c r="L150" s="2057"/>
    </row>
    <row r="151" spans="2:12" ht="13.5" customHeight="1">
      <c r="B151" s="2068"/>
      <c r="C151" s="2073"/>
      <c r="D151" s="998" t="s">
        <v>346</v>
      </c>
      <c r="E151" s="2057"/>
      <c r="F151" s="2057"/>
      <c r="G151" s="2057"/>
      <c r="H151" s="2057"/>
      <c r="I151" s="2057"/>
      <c r="J151" s="2057"/>
      <c r="K151" s="2057"/>
      <c r="L151" s="2057"/>
    </row>
    <row r="152" spans="2:12" ht="15" customHeight="1">
      <c r="B152" s="2068"/>
      <c r="C152" s="2074"/>
      <c r="D152" s="1009" t="s">
        <v>345</v>
      </c>
      <c r="E152" s="2057"/>
      <c r="F152" s="2057"/>
      <c r="G152" s="2057"/>
      <c r="H152" s="2057"/>
      <c r="I152" s="2057"/>
      <c r="J152" s="2057"/>
      <c r="K152" s="2057"/>
      <c r="L152" s="2057"/>
    </row>
    <row r="153" spans="2:12" ht="12" customHeight="1">
      <c r="B153" s="2068"/>
      <c r="C153" s="2072">
        <v>11010</v>
      </c>
      <c r="D153" s="998" t="s">
        <v>350</v>
      </c>
      <c r="E153" s="2057">
        <f>'Havelvac 3 mas 4 ՄԺԾԾ'!D366</f>
        <v>201288.2</v>
      </c>
      <c r="F153" s="2057">
        <f>'Havelvac 3 mas 4 ՄԺԾԾ'!E366</f>
        <v>169524.2</v>
      </c>
      <c r="G153" s="2057">
        <f>'Havelvac 3 mas 4 ՄԺԾԾ'!F366</f>
        <v>33904.840000000004</v>
      </c>
      <c r="H153" s="2057">
        <f>'Havelvac 3 mas 4 ՄԺԾԾ'!G366</f>
        <v>76285.890000000014</v>
      </c>
      <c r="I153" s="2057">
        <f>'Havelvac 3 mas 4 ՄԺԾԾ'!H366</f>
        <v>118666.94</v>
      </c>
      <c r="J153" s="2057">
        <f>'Havelvac 3 mas 4 ՄԺԾԾ'!I366</f>
        <v>169524.2</v>
      </c>
      <c r="K153" s="2057">
        <f>'Havelvac 3 mas 4 ՄԺԾԾ'!J366</f>
        <v>169524.2</v>
      </c>
      <c r="L153" s="2057">
        <f>'Havelvac 3 mas 4 ՄԺԾԾ'!K366</f>
        <v>169524.2</v>
      </c>
    </row>
    <row r="154" spans="2:12" ht="40.5" customHeight="1">
      <c r="B154" s="2068"/>
      <c r="C154" s="2073"/>
      <c r="D154" s="1009" t="s">
        <v>393</v>
      </c>
      <c r="E154" s="2057"/>
      <c r="F154" s="2057"/>
      <c r="G154" s="2057"/>
      <c r="H154" s="2057"/>
      <c r="I154" s="2057"/>
      <c r="J154" s="2057"/>
      <c r="K154" s="2057"/>
      <c r="L154" s="2057"/>
    </row>
    <row r="155" spans="2:12" ht="15.75" customHeight="1">
      <c r="B155" s="2068"/>
      <c r="C155" s="2073"/>
      <c r="D155" s="998" t="s">
        <v>348</v>
      </c>
      <c r="E155" s="2057"/>
      <c r="F155" s="2057"/>
      <c r="G155" s="2057"/>
      <c r="H155" s="2057"/>
      <c r="I155" s="2057"/>
      <c r="J155" s="2057"/>
      <c r="K155" s="2057"/>
      <c r="L155" s="2057"/>
    </row>
    <row r="156" spans="2:12" ht="40.5" customHeight="1">
      <c r="B156" s="2068"/>
      <c r="C156" s="2073"/>
      <c r="D156" s="1009" t="s">
        <v>392</v>
      </c>
      <c r="E156" s="2057"/>
      <c r="F156" s="2057"/>
      <c r="G156" s="2057"/>
      <c r="H156" s="2057"/>
      <c r="I156" s="2057"/>
      <c r="J156" s="2057"/>
      <c r="K156" s="2057"/>
      <c r="L156" s="2057"/>
    </row>
    <row r="157" spans="2:12" ht="13.5" customHeight="1">
      <c r="B157" s="2068"/>
      <c r="C157" s="2073"/>
      <c r="D157" s="998" t="s">
        <v>346</v>
      </c>
      <c r="E157" s="2057"/>
      <c r="F157" s="2057"/>
      <c r="G157" s="2057"/>
      <c r="H157" s="2057"/>
      <c r="I157" s="2057"/>
      <c r="J157" s="2057"/>
      <c r="K157" s="2057"/>
      <c r="L157" s="2057"/>
    </row>
    <row r="158" spans="2:12" ht="14.25" customHeight="1">
      <c r="B158" s="2068"/>
      <c r="C158" s="2074"/>
      <c r="D158" s="997" t="s">
        <v>345</v>
      </c>
      <c r="E158" s="2057"/>
      <c r="F158" s="2057"/>
      <c r="G158" s="2057"/>
      <c r="H158" s="2057"/>
      <c r="I158" s="2057"/>
      <c r="J158" s="2057"/>
      <c r="K158" s="2057"/>
      <c r="L158" s="2057"/>
    </row>
    <row r="159" spans="2:12" ht="14.25" customHeight="1">
      <c r="B159" s="2068"/>
      <c r="C159" s="2062">
        <v>12001</v>
      </c>
      <c r="D159" s="998" t="s">
        <v>350</v>
      </c>
      <c r="E159" s="2084">
        <f>'Havelvac 3 mas 4 ՄԺԾԾ'!D379</f>
        <v>7000</v>
      </c>
      <c r="F159" s="2084">
        <f>'Havelvac 3 mas 4 ՄԺԾԾ'!E379</f>
        <v>7000</v>
      </c>
      <c r="G159" s="2084">
        <f>'Havelvac 3 mas 4 ՄԺԾԾ'!F379</f>
        <v>1400</v>
      </c>
      <c r="H159" s="2084">
        <f>'Havelvac 3 mas 4 ՄԺԾԾ'!G379</f>
        <v>3150</v>
      </c>
      <c r="I159" s="2084">
        <f>'Havelvac 3 mas 4 ՄԺԾԾ'!H379</f>
        <v>4900</v>
      </c>
      <c r="J159" s="2084">
        <f>'Havelvac 3 mas 4 ՄԺԾԾ'!I379</f>
        <v>7000</v>
      </c>
      <c r="K159" s="2084">
        <f>'Havelvac 3 mas 4 ՄԺԾԾ'!J379</f>
        <v>7000</v>
      </c>
      <c r="L159" s="2084">
        <f>'Havelvac 3 mas 4 ՄԺԾԾ'!K379</f>
        <v>7000</v>
      </c>
    </row>
    <row r="160" spans="2:12" ht="27" customHeight="1">
      <c r="B160" s="2068"/>
      <c r="C160" s="2063"/>
      <c r="D160" s="999" t="s">
        <v>391</v>
      </c>
      <c r="E160" s="2085"/>
      <c r="F160" s="2085"/>
      <c r="G160" s="2085"/>
      <c r="H160" s="2085"/>
      <c r="I160" s="2085"/>
      <c r="J160" s="2085"/>
      <c r="K160" s="2085"/>
      <c r="L160" s="2085"/>
    </row>
    <row r="161" spans="2:12" ht="16.5" customHeight="1">
      <c r="B161" s="2068"/>
      <c r="C161" s="2063"/>
      <c r="D161" s="998" t="s">
        <v>348</v>
      </c>
      <c r="E161" s="2085"/>
      <c r="F161" s="2085"/>
      <c r="G161" s="2085"/>
      <c r="H161" s="2085"/>
      <c r="I161" s="2085"/>
      <c r="J161" s="2085"/>
      <c r="K161" s="2085"/>
      <c r="L161" s="2085"/>
    </row>
    <row r="162" spans="2:12" ht="41.25" customHeight="1">
      <c r="B162" s="2068"/>
      <c r="C162" s="2063"/>
      <c r="D162" s="1013" t="s">
        <v>390</v>
      </c>
      <c r="E162" s="2085"/>
      <c r="F162" s="2085"/>
      <c r="G162" s="2085"/>
      <c r="H162" s="2085"/>
      <c r="I162" s="2085"/>
      <c r="J162" s="2085"/>
      <c r="K162" s="2085"/>
      <c r="L162" s="2085"/>
    </row>
    <row r="163" spans="2:12" ht="15" customHeight="1">
      <c r="B163" s="2068"/>
      <c r="C163" s="2063"/>
      <c r="D163" s="998" t="s">
        <v>346</v>
      </c>
      <c r="E163" s="2085"/>
      <c r="F163" s="2085"/>
      <c r="G163" s="2085"/>
      <c r="H163" s="2085"/>
      <c r="I163" s="2085"/>
      <c r="J163" s="2085"/>
      <c r="K163" s="2085"/>
      <c r="L163" s="2085"/>
    </row>
    <row r="164" spans="2:12" ht="17.25" customHeight="1">
      <c r="B164" s="2068"/>
      <c r="C164" s="2064"/>
      <c r="D164" s="997" t="s">
        <v>387</v>
      </c>
      <c r="E164" s="2086"/>
      <c r="F164" s="2086"/>
      <c r="G164" s="2086"/>
      <c r="H164" s="2086"/>
      <c r="I164" s="2086"/>
      <c r="J164" s="2086"/>
      <c r="K164" s="2086"/>
      <c r="L164" s="2086"/>
    </row>
    <row r="165" spans="2:12" ht="18.75" customHeight="1">
      <c r="B165" s="2068"/>
      <c r="C165" s="2062">
        <v>12002</v>
      </c>
      <c r="D165" s="998" t="s">
        <v>350</v>
      </c>
      <c r="E165" s="2084">
        <f>'Havelvac 3 mas 4 ՄԺԾԾ'!D395</f>
        <v>0</v>
      </c>
      <c r="F165" s="2084">
        <f>'Havelvac 3 mas 4 ՄԺԾԾ'!E395</f>
        <v>493680</v>
      </c>
      <c r="G165" s="2084">
        <f>'Havelvac 3 mas 4 ՄԺԾԾ'!F395</f>
        <v>103326.55600000001</v>
      </c>
      <c r="H165" s="2084">
        <f>'Havelvac 3 mas 4 ՄԺԾԾ'!G395</f>
        <v>232484.75100000002</v>
      </c>
      <c r="I165" s="2084">
        <f>'Havelvac 3 mas 4 ՄԺԾԾ'!H395</f>
        <v>361642.946</v>
      </c>
      <c r="J165" s="2084">
        <f>'Havelvac 3 mas 4 ՄԺԾԾ'!I395</f>
        <v>516632.78</v>
      </c>
      <c r="K165" s="2084">
        <f>'Havelvac 3 mas 4 ՄԺԾԾ'!J395</f>
        <v>0</v>
      </c>
      <c r="L165" s="2084">
        <f>'Havelvac 3 mas 4 ՄԺԾԾ'!K395</f>
        <v>0</v>
      </c>
    </row>
    <row r="166" spans="2:12" ht="66" customHeight="1">
      <c r="B166" s="2068"/>
      <c r="C166" s="2063"/>
      <c r="D166" s="1015" t="s">
        <v>389</v>
      </c>
      <c r="E166" s="2085"/>
      <c r="F166" s="2085"/>
      <c r="G166" s="2085"/>
      <c r="H166" s="2085"/>
      <c r="I166" s="2085"/>
      <c r="J166" s="2085"/>
      <c r="K166" s="2085"/>
      <c r="L166" s="2085"/>
    </row>
    <row r="167" spans="2:12" ht="20.25" customHeight="1">
      <c r="B167" s="2068"/>
      <c r="C167" s="2063"/>
      <c r="D167" s="998" t="s">
        <v>348</v>
      </c>
      <c r="E167" s="2085"/>
      <c r="F167" s="2085"/>
      <c r="G167" s="2085"/>
      <c r="H167" s="2085"/>
      <c r="I167" s="2085"/>
      <c r="J167" s="2085"/>
      <c r="K167" s="2085"/>
      <c r="L167" s="2085"/>
    </row>
    <row r="168" spans="2:12" ht="54.75" customHeight="1">
      <c r="B168" s="2068"/>
      <c r="C168" s="2063"/>
      <c r="D168" s="1015" t="s">
        <v>388</v>
      </c>
      <c r="E168" s="2085"/>
      <c r="F168" s="2085"/>
      <c r="G168" s="2085"/>
      <c r="H168" s="2085"/>
      <c r="I168" s="2085"/>
      <c r="J168" s="2085"/>
      <c r="K168" s="2085"/>
      <c r="L168" s="2085"/>
    </row>
    <row r="169" spans="2:12" ht="20.25" customHeight="1">
      <c r="B169" s="2068"/>
      <c r="C169" s="2063"/>
      <c r="D169" s="998" t="s">
        <v>346</v>
      </c>
      <c r="E169" s="2085"/>
      <c r="F169" s="2085"/>
      <c r="G169" s="2085"/>
      <c r="H169" s="2085"/>
      <c r="I169" s="2085"/>
      <c r="J169" s="2085"/>
      <c r="K169" s="2085"/>
      <c r="L169" s="2085"/>
    </row>
    <row r="170" spans="2:12" ht="17.25" customHeight="1">
      <c r="B170" s="2068"/>
      <c r="C170" s="2064"/>
      <c r="D170" s="997" t="s">
        <v>387</v>
      </c>
      <c r="E170" s="2086"/>
      <c r="F170" s="2086"/>
      <c r="G170" s="2086"/>
      <c r="H170" s="2086"/>
      <c r="I170" s="2086"/>
      <c r="J170" s="2086"/>
      <c r="K170" s="2086"/>
      <c r="L170" s="2086"/>
    </row>
    <row r="171" spans="2:12">
      <c r="B171" s="2090"/>
      <c r="C171" s="2090"/>
      <c r="D171" s="2081" t="s">
        <v>371</v>
      </c>
      <c r="E171" s="2081"/>
      <c r="F171" s="2081"/>
      <c r="G171" s="2081"/>
      <c r="H171" s="2081"/>
      <c r="I171" s="2081"/>
      <c r="J171" s="2081"/>
      <c r="K171" s="2081"/>
      <c r="L171" s="2081"/>
    </row>
    <row r="172" spans="2:12" ht="16.5" customHeight="1">
      <c r="B172" s="2068"/>
      <c r="C172" s="2091">
        <v>32001</v>
      </c>
      <c r="D172" s="998" t="s">
        <v>350</v>
      </c>
      <c r="E172" s="2084">
        <f>'Havelvac 3 mas 4 ՄԺԾԾ'!D414</f>
        <v>2994.53</v>
      </c>
      <c r="F172" s="2084">
        <f>'Havelvac 3 mas 4 ՄԺԾԾ'!E414</f>
        <v>669537.69999999995</v>
      </c>
      <c r="G172" s="2084">
        <f>'Havelvac 3 mas 4 ՄԺԾԾ'!F414</f>
        <v>198957.22400000002</v>
      </c>
      <c r="H172" s="2084">
        <f>'Havelvac 3 mas 4 ՄԺԾԾ'!G414</f>
        <v>447653.75400000002</v>
      </c>
      <c r="I172" s="2084">
        <f>'Havelvac 3 mas 4 ՄԺԾԾ'!H414</f>
        <v>696350.28399999999</v>
      </c>
      <c r="J172" s="2084">
        <f>'Havelvac 3 mas 4 ՄԺԾԾ'!I414</f>
        <v>994786.12</v>
      </c>
      <c r="K172" s="2084">
        <f>'Havelvac 3 mas 4 ՄԺԾԾ'!J414</f>
        <v>0</v>
      </c>
      <c r="L172" s="2084">
        <f>'Havelvac 3 mas 4 ՄԺԾԾ'!K414</f>
        <v>0</v>
      </c>
    </row>
    <row r="173" spans="2:12" ht="71.25" customHeight="1">
      <c r="B173" s="2068"/>
      <c r="C173" s="2091"/>
      <c r="D173" s="1015" t="s">
        <v>386</v>
      </c>
      <c r="E173" s="2085"/>
      <c r="F173" s="2085"/>
      <c r="G173" s="2085"/>
      <c r="H173" s="2085"/>
      <c r="I173" s="2085"/>
      <c r="J173" s="2085"/>
      <c r="K173" s="2085"/>
      <c r="L173" s="2085"/>
    </row>
    <row r="174" spans="2:12" ht="17.25" customHeight="1">
      <c r="B174" s="2068"/>
      <c r="C174" s="2091"/>
      <c r="D174" s="998" t="s">
        <v>348</v>
      </c>
      <c r="E174" s="2085"/>
      <c r="F174" s="2085"/>
      <c r="G174" s="2085"/>
      <c r="H174" s="2085"/>
      <c r="I174" s="2085"/>
      <c r="J174" s="2085"/>
      <c r="K174" s="2085"/>
      <c r="L174" s="2085"/>
    </row>
    <row r="175" spans="2:12" ht="56.25" customHeight="1">
      <c r="B175" s="2068"/>
      <c r="C175" s="2091"/>
      <c r="D175" s="1015" t="s">
        <v>385</v>
      </c>
      <c r="E175" s="2085"/>
      <c r="F175" s="2085"/>
      <c r="G175" s="2085"/>
      <c r="H175" s="2085"/>
      <c r="I175" s="2085"/>
      <c r="J175" s="2085"/>
      <c r="K175" s="2085"/>
      <c r="L175" s="2085"/>
    </row>
    <row r="176" spans="2:12" ht="15" customHeight="1">
      <c r="B176" s="2068"/>
      <c r="C176" s="2091"/>
      <c r="D176" s="998" t="s">
        <v>346</v>
      </c>
      <c r="E176" s="2085"/>
      <c r="F176" s="2085"/>
      <c r="G176" s="2085"/>
      <c r="H176" s="2085"/>
      <c r="I176" s="2085"/>
      <c r="J176" s="2085"/>
      <c r="K176" s="2085"/>
      <c r="L176" s="2085"/>
    </row>
    <row r="177" spans="2:12" ht="36.75" customHeight="1">
      <c r="B177" s="2068"/>
      <c r="C177" s="2091"/>
      <c r="D177" s="1014" t="s">
        <v>361</v>
      </c>
      <c r="E177" s="2086"/>
      <c r="F177" s="2086"/>
      <c r="G177" s="2086"/>
      <c r="H177" s="2086"/>
      <c r="I177" s="2086"/>
      <c r="J177" s="2086"/>
      <c r="K177" s="2086"/>
      <c r="L177" s="2086"/>
    </row>
    <row r="178" spans="2:12">
      <c r="B178" s="2050" t="s">
        <v>360</v>
      </c>
      <c r="C178" s="2051"/>
      <c r="D178" s="2052"/>
      <c r="E178" s="2052"/>
      <c r="F178" s="2052"/>
      <c r="G178" s="2052"/>
      <c r="H178" s="2052"/>
      <c r="I178" s="2052"/>
      <c r="J178" s="2052"/>
      <c r="K178" s="2052"/>
      <c r="L178" s="2052"/>
    </row>
    <row r="179" spans="2:12" ht="16.5" customHeight="1">
      <c r="B179" s="2082">
        <v>1173</v>
      </c>
      <c r="C179" s="2083"/>
      <c r="D179" s="998" t="s">
        <v>359</v>
      </c>
      <c r="E179" s="2057">
        <f t="shared" ref="E179:L179" si="6">E187+E193+E199+E205+E211+E218+E224+E230+E236</f>
        <v>1762448.7199999997</v>
      </c>
      <c r="F179" s="2057">
        <f t="shared" si="6"/>
        <v>2302948.3999999994</v>
      </c>
      <c r="G179" s="2057">
        <f t="shared" si="6"/>
        <v>968732.56000000017</v>
      </c>
      <c r="H179" s="2057">
        <f t="shared" si="6"/>
        <v>2179648.2599999998</v>
      </c>
      <c r="I179" s="2057">
        <f t="shared" si="6"/>
        <v>3390563.9600000004</v>
      </c>
      <c r="J179" s="2057">
        <f t="shared" si="6"/>
        <v>4843662.8</v>
      </c>
      <c r="K179" s="2057">
        <f t="shared" si="6"/>
        <v>4908136</v>
      </c>
      <c r="L179" s="2057">
        <f t="shared" si="6"/>
        <v>4754311.3000000007</v>
      </c>
    </row>
    <row r="180" spans="2:12" ht="15.75" customHeight="1">
      <c r="B180" s="2082"/>
      <c r="C180" s="2083"/>
      <c r="D180" s="1013" t="s">
        <v>384</v>
      </c>
      <c r="E180" s="2057"/>
      <c r="F180" s="2057"/>
      <c r="G180" s="2057"/>
      <c r="H180" s="2057"/>
      <c r="I180" s="2057"/>
      <c r="J180" s="2057"/>
      <c r="K180" s="2057"/>
      <c r="L180" s="2057"/>
    </row>
    <row r="181" spans="2:12" ht="14.25" customHeight="1">
      <c r="B181" s="2082"/>
      <c r="C181" s="2083"/>
      <c r="D181" s="998" t="s">
        <v>358</v>
      </c>
      <c r="E181" s="2057"/>
      <c r="F181" s="2057"/>
      <c r="G181" s="2057"/>
      <c r="H181" s="2057"/>
      <c r="I181" s="2057"/>
      <c r="J181" s="2057"/>
      <c r="K181" s="2057"/>
      <c r="L181" s="2057"/>
    </row>
    <row r="182" spans="2:12" ht="16.5" customHeight="1">
      <c r="B182" s="2082"/>
      <c r="C182" s="2083"/>
      <c r="D182" s="1012" t="s">
        <v>383</v>
      </c>
      <c r="E182" s="2057"/>
      <c r="F182" s="2057"/>
      <c r="G182" s="2057"/>
      <c r="H182" s="2057"/>
      <c r="I182" s="2057"/>
      <c r="J182" s="2057"/>
      <c r="K182" s="2057"/>
      <c r="L182" s="2057"/>
    </row>
    <row r="183" spans="2:12" ht="17.25" customHeight="1">
      <c r="B183" s="2082"/>
      <c r="C183" s="2083"/>
      <c r="D183" s="998" t="s">
        <v>356</v>
      </c>
      <c r="E183" s="2057"/>
      <c r="F183" s="2057"/>
      <c r="G183" s="2057"/>
      <c r="H183" s="2057"/>
      <c r="I183" s="2057"/>
      <c r="J183" s="2057"/>
      <c r="K183" s="2057"/>
      <c r="L183" s="2057"/>
    </row>
    <row r="184" spans="2:12" ht="18.75" customHeight="1">
      <c r="B184" s="2072"/>
      <c r="C184" s="2083"/>
      <c r="D184" s="1004" t="s">
        <v>382</v>
      </c>
      <c r="E184" s="2057"/>
      <c r="F184" s="2057"/>
      <c r="G184" s="2057"/>
      <c r="H184" s="2057"/>
      <c r="I184" s="2057"/>
      <c r="J184" s="2057"/>
      <c r="K184" s="2057"/>
      <c r="L184" s="2057"/>
    </row>
    <row r="185" spans="2:12" ht="15" customHeight="1">
      <c r="B185" s="2050" t="s">
        <v>354</v>
      </c>
      <c r="C185" s="2051"/>
      <c r="D185" s="2081"/>
      <c r="E185" s="2081"/>
      <c r="F185" s="2081"/>
      <c r="G185" s="2081"/>
      <c r="H185" s="2081"/>
      <c r="I185" s="2081"/>
      <c r="J185" s="2081"/>
      <c r="K185" s="2081"/>
      <c r="L185" s="2081"/>
    </row>
    <row r="186" spans="2:12" ht="13.5" customHeight="1">
      <c r="B186" s="2090"/>
      <c r="C186" s="2090"/>
      <c r="D186" s="1002" t="s">
        <v>353</v>
      </c>
      <c r="E186" s="1001"/>
      <c r="F186" s="1001"/>
      <c r="G186" s="1001"/>
      <c r="H186" s="1001"/>
      <c r="I186" s="1001"/>
      <c r="J186" s="1001"/>
      <c r="K186" s="1001"/>
      <c r="L186" s="1000"/>
    </row>
    <row r="187" spans="2:12" ht="18" customHeight="1">
      <c r="B187" s="2068"/>
      <c r="C187" s="2072">
        <v>11001</v>
      </c>
      <c r="D187" s="998" t="s">
        <v>350</v>
      </c>
      <c r="E187" s="2084">
        <f>'Havelvac 3 mas 4 ՄԺԾԾ'!D432</f>
        <v>170293.17</v>
      </c>
      <c r="F187" s="2084">
        <f>'Havelvac 3 mas 4 ՄԺԾԾ'!E432</f>
        <v>251232.2</v>
      </c>
      <c r="G187" s="2084">
        <f>'Havelvac 3 mas 4 ՄԺԾԾ'!F432</f>
        <v>51038.200000000004</v>
      </c>
      <c r="H187" s="2084">
        <f>'Havelvac 3 mas 4 ՄԺԾԾ'!G432</f>
        <v>114835.95</v>
      </c>
      <c r="I187" s="2084">
        <f>'Havelvac 3 mas 4 ՄԺԾԾ'!H432</f>
        <v>178633.69999999998</v>
      </c>
      <c r="J187" s="2084">
        <f>'Havelvac 3 mas 4 ՄԺԾԾ'!I432</f>
        <v>255191</v>
      </c>
      <c r="K187" s="2084">
        <f>'Havelvac 3 mas 4 ՄԺԾԾ'!J432</f>
        <v>256800.8</v>
      </c>
      <c r="L187" s="2084">
        <f>'Havelvac 3 mas 4 ՄԺԾԾ'!K432</f>
        <v>258580.5</v>
      </c>
    </row>
    <row r="188" spans="2:12" ht="28.5" customHeight="1">
      <c r="B188" s="2068"/>
      <c r="C188" s="2073"/>
      <c r="D188" s="1009" t="s">
        <v>381</v>
      </c>
      <c r="E188" s="2085"/>
      <c r="F188" s="2085"/>
      <c r="G188" s="2085"/>
      <c r="H188" s="2085"/>
      <c r="I188" s="2085"/>
      <c r="J188" s="2085"/>
      <c r="K188" s="2085"/>
      <c r="L188" s="2085"/>
    </row>
    <row r="189" spans="2:12" ht="16.5" customHeight="1">
      <c r="B189" s="2068"/>
      <c r="C189" s="2073"/>
      <c r="D189" s="998" t="s">
        <v>348</v>
      </c>
      <c r="E189" s="2085"/>
      <c r="F189" s="2085"/>
      <c r="G189" s="2085"/>
      <c r="H189" s="2085"/>
      <c r="I189" s="2085"/>
      <c r="J189" s="2085"/>
      <c r="K189" s="2085"/>
      <c r="L189" s="2085"/>
    </row>
    <row r="190" spans="2:12" ht="27" customHeight="1">
      <c r="B190" s="2068"/>
      <c r="C190" s="2073"/>
      <c r="D190" s="1009" t="s">
        <v>380</v>
      </c>
      <c r="E190" s="2085"/>
      <c r="F190" s="2085"/>
      <c r="G190" s="2085"/>
      <c r="H190" s="2085"/>
      <c r="I190" s="2085"/>
      <c r="J190" s="2085"/>
      <c r="K190" s="2085"/>
      <c r="L190" s="2085"/>
    </row>
    <row r="191" spans="2:12" ht="15" customHeight="1">
      <c r="B191" s="2068"/>
      <c r="C191" s="2073"/>
      <c r="D191" s="998" t="s">
        <v>346</v>
      </c>
      <c r="E191" s="2085"/>
      <c r="F191" s="2085"/>
      <c r="G191" s="2085"/>
      <c r="H191" s="2085"/>
      <c r="I191" s="2085"/>
      <c r="J191" s="2085"/>
      <c r="K191" s="2085"/>
      <c r="L191" s="2085"/>
    </row>
    <row r="192" spans="2:12" ht="16.5" customHeight="1">
      <c r="B192" s="2068"/>
      <c r="C192" s="2074"/>
      <c r="D192" s="997" t="s">
        <v>345</v>
      </c>
      <c r="E192" s="2086"/>
      <c r="F192" s="2086"/>
      <c r="G192" s="2086"/>
      <c r="H192" s="2086"/>
      <c r="I192" s="2086"/>
      <c r="J192" s="2086"/>
      <c r="K192" s="2086"/>
      <c r="L192" s="2086"/>
    </row>
    <row r="193" spans="2:12" ht="15.75" customHeight="1">
      <c r="B193" s="2068"/>
      <c r="C193" s="2072">
        <v>11002</v>
      </c>
      <c r="D193" s="998" t="s">
        <v>350</v>
      </c>
      <c r="E193" s="2084">
        <f>'Havelvac 3 mas 4 ՄԺԾԾ'!D447</f>
        <v>1170656.3</v>
      </c>
      <c r="F193" s="2084">
        <f>'Havelvac 3 mas 4 ՄԺԾԾ'!E447</f>
        <v>1335485.8999999999</v>
      </c>
      <c r="G193" s="2084">
        <f>'Havelvac 3 mas 4 ՄԺԾԾ'!F447</f>
        <v>370070.04000000004</v>
      </c>
      <c r="H193" s="2084">
        <f>'Havelvac 3 mas 4 ՄԺԾԾ'!G447</f>
        <v>832657.59</v>
      </c>
      <c r="I193" s="2084">
        <f>'Havelvac 3 mas 4 ՄԺԾԾ'!H447</f>
        <v>1295245.1399999999</v>
      </c>
      <c r="J193" s="2084">
        <f>'Havelvac 3 mas 4 ՄԺԾԾ'!I447</f>
        <v>1850350.2</v>
      </c>
      <c r="K193" s="2084">
        <f>'Havelvac 3 mas 4 ՄԺԾԾ'!J447</f>
        <v>1850350.2</v>
      </c>
      <c r="L193" s="2084">
        <f>'Havelvac 3 mas 4 ՄԺԾԾ'!K447</f>
        <v>1850350.2</v>
      </c>
    </row>
    <row r="194" spans="2:12" ht="15" customHeight="1">
      <c r="B194" s="2068"/>
      <c r="C194" s="2073"/>
      <c r="D194" s="999" t="s">
        <v>379</v>
      </c>
      <c r="E194" s="2085"/>
      <c r="F194" s="2085"/>
      <c r="G194" s="2085"/>
      <c r="H194" s="2085"/>
      <c r="I194" s="2085"/>
      <c r="J194" s="2085"/>
      <c r="K194" s="2085"/>
      <c r="L194" s="2085"/>
    </row>
    <row r="195" spans="2:12" ht="13.5" customHeight="1">
      <c r="B195" s="2068"/>
      <c r="C195" s="2073"/>
      <c r="D195" s="998" t="s">
        <v>348</v>
      </c>
      <c r="E195" s="2085"/>
      <c r="F195" s="2085"/>
      <c r="G195" s="2085"/>
      <c r="H195" s="2085"/>
      <c r="I195" s="2085"/>
      <c r="J195" s="2085"/>
      <c r="K195" s="2085"/>
      <c r="L195" s="2085"/>
    </row>
    <row r="196" spans="2:12" ht="26.25" customHeight="1">
      <c r="B196" s="2068"/>
      <c r="C196" s="2073"/>
      <c r="D196" s="1006" t="s">
        <v>378</v>
      </c>
      <c r="E196" s="2085"/>
      <c r="F196" s="2085"/>
      <c r="G196" s="2085"/>
      <c r="H196" s="2085"/>
      <c r="I196" s="2085"/>
      <c r="J196" s="2085"/>
      <c r="K196" s="2085"/>
      <c r="L196" s="2085"/>
    </row>
    <row r="197" spans="2:12" ht="12" customHeight="1">
      <c r="B197" s="2068"/>
      <c r="C197" s="2073"/>
      <c r="D197" s="998" t="s">
        <v>346</v>
      </c>
      <c r="E197" s="2085"/>
      <c r="F197" s="2085"/>
      <c r="G197" s="2085"/>
      <c r="H197" s="2085"/>
      <c r="I197" s="2085"/>
      <c r="J197" s="2085"/>
      <c r="K197" s="2085"/>
      <c r="L197" s="2085"/>
    </row>
    <row r="198" spans="2:12" ht="13.5" customHeight="1">
      <c r="B198" s="2068"/>
      <c r="C198" s="2074"/>
      <c r="D198" s="997" t="s">
        <v>345</v>
      </c>
      <c r="E198" s="2086"/>
      <c r="F198" s="2086"/>
      <c r="G198" s="2086"/>
      <c r="H198" s="2086"/>
      <c r="I198" s="2086"/>
      <c r="J198" s="2086"/>
      <c r="K198" s="2086"/>
      <c r="L198" s="2086"/>
    </row>
    <row r="199" spans="2:12" ht="14.25" customHeight="1">
      <c r="B199" s="2068"/>
      <c r="C199" s="2072">
        <v>11003</v>
      </c>
      <c r="D199" s="998" t="s">
        <v>350</v>
      </c>
      <c r="E199" s="2084">
        <f>'Havelvac 3 mas 4 ՄԺԾԾ'!D461</f>
        <v>11975.67</v>
      </c>
      <c r="F199" s="2084">
        <f>'Havelvac 3 mas 4 ՄԺԾԾ'!E461</f>
        <v>15000</v>
      </c>
      <c r="G199" s="2084">
        <f>'Havelvac 3 mas 4 ՄԺԾԾ'!F461</f>
        <v>3000</v>
      </c>
      <c r="H199" s="2084">
        <f>'Havelvac 3 mas 4 ՄԺԾԾ'!G461</f>
        <v>6750</v>
      </c>
      <c r="I199" s="2084">
        <f>'Havelvac 3 mas 4 ՄԺԾԾ'!H461</f>
        <v>10500</v>
      </c>
      <c r="J199" s="2084">
        <f>'Havelvac 3 mas 4 ՄԺԾԾ'!I461</f>
        <v>15000</v>
      </c>
      <c r="K199" s="2084">
        <f>'Havelvac 3 mas 4 ՄԺԾԾ'!J461</f>
        <v>15000</v>
      </c>
      <c r="L199" s="2084">
        <f>'Havelvac 3 mas 4 ՄԺԾԾ'!K461</f>
        <v>15000</v>
      </c>
    </row>
    <row r="200" spans="2:12" ht="15" customHeight="1">
      <c r="B200" s="2068"/>
      <c r="C200" s="2073"/>
      <c r="D200" s="999" t="s">
        <v>377</v>
      </c>
      <c r="E200" s="2085"/>
      <c r="F200" s="2085"/>
      <c r="G200" s="2085"/>
      <c r="H200" s="2085"/>
      <c r="I200" s="2085"/>
      <c r="J200" s="2085"/>
      <c r="K200" s="2085"/>
      <c r="L200" s="2085"/>
    </row>
    <row r="201" spans="2:12" ht="15" customHeight="1">
      <c r="B201" s="2068"/>
      <c r="C201" s="2073"/>
      <c r="D201" s="998" t="s">
        <v>348</v>
      </c>
      <c r="E201" s="2085"/>
      <c r="F201" s="2085"/>
      <c r="G201" s="2085"/>
      <c r="H201" s="2085"/>
      <c r="I201" s="2085"/>
      <c r="J201" s="2085"/>
      <c r="K201" s="2085"/>
      <c r="L201" s="2085"/>
    </row>
    <row r="202" spans="2:12" ht="28.5" customHeight="1">
      <c r="B202" s="2068"/>
      <c r="C202" s="2073"/>
      <c r="D202" s="1006" t="s">
        <v>376</v>
      </c>
      <c r="E202" s="2085"/>
      <c r="F202" s="2085"/>
      <c r="G202" s="2085"/>
      <c r="H202" s="2085"/>
      <c r="I202" s="2085"/>
      <c r="J202" s="2085"/>
      <c r="K202" s="2085"/>
      <c r="L202" s="2085"/>
    </row>
    <row r="203" spans="2:12" ht="15.75" customHeight="1">
      <c r="B203" s="2068"/>
      <c r="C203" s="2073"/>
      <c r="D203" s="998" t="s">
        <v>346</v>
      </c>
      <c r="E203" s="2085"/>
      <c r="F203" s="2085"/>
      <c r="G203" s="2085"/>
      <c r="H203" s="2085"/>
      <c r="I203" s="2085"/>
      <c r="J203" s="2085"/>
      <c r="K203" s="2085"/>
      <c r="L203" s="2085"/>
    </row>
    <row r="204" spans="2:12" ht="15" customHeight="1">
      <c r="B204" s="2068"/>
      <c r="C204" s="2074"/>
      <c r="D204" s="997" t="s">
        <v>345</v>
      </c>
      <c r="E204" s="2086"/>
      <c r="F204" s="2086"/>
      <c r="G204" s="2086"/>
      <c r="H204" s="2086"/>
      <c r="I204" s="2086"/>
      <c r="J204" s="2086"/>
      <c r="K204" s="2086"/>
      <c r="L204" s="2086"/>
    </row>
    <row r="205" spans="2:12" ht="15.75" customHeight="1">
      <c r="B205" s="2068"/>
      <c r="C205" s="2072">
        <v>11004</v>
      </c>
      <c r="D205" s="998" t="s">
        <v>350</v>
      </c>
      <c r="E205" s="2057">
        <f>'Havelvac 3 mas 4 ՄԺԾԾ'!D476</f>
        <v>10422</v>
      </c>
      <c r="F205" s="2057">
        <f>'Havelvac 3 mas 4 ՄԺԾԾ'!E476</f>
        <v>43710.9</v>
      </c>
      <c r="G205" s="2057">
        <f>'Havelvac 3 mas 4 ՄԺԾԾ'!F476</f>
        <v>15360</v>
      </c>
      <c r="H205" s="2057">
        <f>'Havelvac 3 mas 4 ՄԺԾԾ'!G476</f>
        <v>34560</v>
      </c>
      <c r="I205" s="2057">
        <f>'Havelvac 3 mas 4 ՄԺԾԾ'!H476</f>
        <v>53760</v>
      </c>
      <c r="J205" s="2057">
        <f>'Havelvac 3 mas 4 ՄԺԾԾ'!I476</f>
        <v>76800</v>
      </c>
      <c r="K205" s="2057">
        <f>'Havelvac 3 mas 4 ՄԺԾԾ'!J476</f>
        <v>76800</v>
      </c>
      <c r="L205" s="2057">
        <f>'Havelvac 3 mas 4 ՄԺԾԾ'!K476</f>
        <v>76800</v>
      </c>
    </row>
    <row r="206" spans="2:12" ht="15.75" customHeight="1">
      <c r="B206" s="2068"/>
      <c r="C206" s="2073"/>
      <c r="D206" s="999" t="s">
        <v>375</v>
      </c>
      <c r="E206" s="2057"/>
      <c r="F206" s="2057"/>
      <c r="G206" s="2057"/>
      <c r="H206" s="2057"/>
      <c r="I206" s="2057"/>
      <c r="J206" s="2057"/>
      <c r="K206" s="2057"/>
      <c r="L206" s="2057"/>
    </row>
    <row r="207" spans="2:12" ht="15.75" customHeight="1">
      <c r="B207" s="2068"/>
      <c r="C207" s="2073"/>
      <c r="D207" s="998" t="s">
        <v>348</v>
      </c>
      <c r="E207" s="2057"/>
      <c r="F207" s="2057"/>
      <c r="G207" s="2057"/>
      <c r="H207" s="2057"/>
      <c r="I207" s="2057"/>
      <c r="J207" s="2057"/>
      <c r="K207" s="2057"/>
      <c r="L207" s="2057"/>
    </row>
    <row r="208" spans="2:12" ht="42" customHeight="1">
      <c r="B208" s="2068"/>
      <c r="C208" s="2073"/>
      <c r="D208" s="1006" t="s">
        <v>374</v>
      </c>
      <c r="E208" s="2057"/>
      <c r="F208" s="2057"/>
      <c r="G208" s="2057"/>
      <c r="H208" s="2057"/>
      <c r="I208" s="2057"/>
      <c r="J208" s="2057"/>
      <c r="K208" s="2057"/>
      <c r="L208" s="2057"/>
    </row>
    <row r="209" spans="2:12" ht="14.25" customHeight="1">
      <c r="B209" s="2068"/>
      <c r="C209" s="2073"/>
      <c r="D209" s="998" t="s">
        <v>346</v>
      </c>
      <c r="E209" s="2057"/>
      <c r="F209" s="2057"/>
      <c r="G209" s="2057"/>
      <c r="H209" s="2057"/>
      <c r="I209" s="2057"/>
      <c r="J209" s="2057"/>
      <c r="K209" s="2057"/>
      <c r="L209" s="2057"/>
    </row>
    <row r="210" spans="2:12" ht="14.25" customHeight="1">
      <c r="B210" s="2068"/>
      <c r="C210" s="2074"/>
      <c r="D210" s="997" t="s">
        <v>345</v>
      </c>
      <c r="E210" s="2057"/>
      <c r="F210" s="2057"/>
      <c r="G210" s="2057"/>
      <c r="H210" s="2057"/>
      <c r="I210" s="2057"/>
      <c r="J210" s="2057"/>
      <c r="K210" s="2057"/>
      <c r="L210" s="2057"/>
    </row>
    <row r="211" spans="2:12" ht="15.75" customHeight="1">
      <c r="B211" s="2068"/>
      <c r="C211" s="2072">
        <v>11005</v>
      </c>
      <c r="D211" s="998" t="s">
        <v>350</v>
      </c>
      <c r="E211" s="2057">
        <f>'Havelvac 3 mas 4 ՄԺԾԾ'!D491</f>
        <v>49293.9</v>
      </c>
      <c r="F211" s="2057">
        <f>'Havelvac 3 mas 4 ՄԺԾԾ'!E491</f>
        <v>53325.8</v>
      </c>
      <c r="G211" s="2057">
        <f>'Havelvac 3 mas 4 ՄԺԾԾ'!F491</f>
        <v>10665.160000000002</v>
      </c>
      <c r="H211" s="2057">
        <f>'Havelvac 3 mas 4 ՄԺԾԾ'!G491</f>
        <v>23996.61</v>
      </c>
      <c r="I211" s="2057">
        <f>'Havelvac 3 mas 4 ՄԺԾԾ'!H491</f>
        <v>37328.06</v>
      </c>
      <c r="J211" s="2057">
        <f>'Havelvac 3 mas 4 ՄԺԾԾ'!I491</f>
        <v>53325.8</v>
      </c>
      <c r="K211" s="2057">
        <f>'Havelvac 3 mas 4 ՄԺԾԾ'!J491</f>
        <v>53325.8</v>
      </c>
      <c r="L211" s="2057">
        <f>'Havelvac 3 mas 4 ՄԺԾԾ'!K491</f>
        <v>53325.8</v>
      </c>
    </row>
    <row r="212" spans="2:12" ht="14.25" customHeight="1">
      <c r="B212" s="2068"/>
      <c r="C212" s="2073"/>
      <c r="D212" s="999" t="s">
        <v>373</v>
      </c>
      <c r="E212" s="2057"/>
      <c r="F212" s="2057"/>
      <c r="G212" s="2057"/>
      <c r="H212" s="2057"/>
      <c r="I212" s="2057"/>
      <c r="J212" s="2057"/>
      <c r="K212" s="2057"/>
      <c r="L212" s="2057"/>
    </row>
    <row r="213" spans="2:12" ht="15" customHeight="1">
      <c r="B213" s="2068"/>
      <c r="C213" s="2073"/>
      <c r="D213" s="998" t="s">
        <v>348</v>
      </c>
      <c r="E213" s="2057"/>
      <c r="F213" s="2057"/>
      <c r="G213" s="2057"/>
      <c r="H213" s="2057"/>
      <c r="I213" s="2057"/>
      <c r="J213" s="2057"/>
      <c r="K213" s="2057"/>
      <c r="L213" s="2057"/>
    </row>
    <row r="214" spans="2:12" ht="28.5" customHeight="1">
      <c r="B214" s="2068"/>
      <c r="C214" s="2073"/>
      <c r="D214" s="1006" t="s">
        <v>372</v>
      </c>
      <c r="E214" s="2057"/>
      <c r="F214" s="2057"/>
      <c r="G214" s="2057"/>
      <c r="H214" s="2057"/>
      <c r="I214" s="2057"/>
      <c r="J214" s="2057"/>
      <c r="K214" s="2057"/>
      <c r="L214" s="2057"/>
    </row>
    <row r="215" spans="2:12" ht="17.25" customHeight="1">
      <c r="B215" s="2068"/>
      <c r="C215" s="2073"/>
      <c r="D215" s="998" t="s">
        <v>346</v>
      </c>
      <c r="E215" s="2057"/>
      <c r="F215" s="2057"/>
      <c r="G215" s="2057"/>
      <c r="H215" s="2057"/>
      <c r="I215" s="2057"/>
      <c r="J215" s="2057"/>
      <c r="K215" s="2057"/>
      <c r="L215" s="2057"/>
    </row>
    <row r="216" spans="2:12" ht="14.25" customHeight="1">
      <c r="B216" s="2068"/>
      <c r="C216" s="2074"/>
      <c r="D216" s="997" t="s">
        <v>345</v>
      </c>
      <c r="E216" s="2057"/>
      <c r="F216" s="2057"/>
      <c r="G216" s="2057"/>
      <c r="H216" s="2057"/>
      <c r="I216" s="2057"/>
      <c r="J216" s="2057"/>
      <c r="K216" s="2057"/>
      <c r="L216" s="2057"/>
    </row>
    <row r="217" spans="2:12">
      <c r="B217" s="2090"/>
      <c r="C217" s="2090"/>
      <c r="D217" s="2081" t="s">
        <v>371</v>
      </c>
      <c r="E217" s="2081"/>
      <c r="F217" s="2081"/>
      <c r="G217" s="2081"/>
      <c r="H217" s="2081"/>
      <c r="I217" s="2081"/>
      <c r="J217" s="2081"/>
      <c r="K217" s="2081"/>
      <c r="L217" s="2081"/>
    </row>
    <row r="218" spans="2:12" ht="16.5" customHeight="1">
      <c r="B218" s="2068"/>
      <c r="C218" s="2107">
        <v>31001</v>
      </c>
      <c r="D218" s="998" t="s">
        <v>350</v>
      </c>
      <c r="E218" s="2104">
        <f>'Havelvac 3 mas 4 ՄԺԾԾ'!D505</f>
        <v>3499.5</v>
      </c>
      <c r="F218" s="2104">
        <f>'Havelvac 3 mas 4 ՄԺԾԾ'!E505</f>
        <v>3552.8</v>
      </c>
      <c r="G218" s="2104">
        <f>'Havelvac 3 mas 4 ՄԺԾԾ'!F505</f>
        <v>3692</v>
      </c>
      <c r="H218" s="2104">
        <f>'Havelvac 3 mas 4 ՄԺԾԾ'!G505</f>
        <v>8307</v>
      </c>
      <c r="I218" s="2104">
        <f>'Havelvac 3 mas 4 ՄԺԾԾ'!H505</f>
        <v>12922</v>
      </c>
      <c r="J218" s="2104">
        <f>'Havelvac 3 mas 4 ՄԺԾԾ'!I505</f>
        <v>18460</v>
      </c>
      <c r="K218" s="2104">
        <f>'Havelvac 3 mas 4 ՄԺԾԾ'!J505</f>
        <v>0</v>
      </c>
      <c r="L218" s="2104">
        <f>'Havelvac 3 mas 4 ՄԺԾԾ'!K505</f>
        <v>0</v>
      </c>
    </row>
    <row r="219" spans="2:12" ht="27" customHeight="1">
      <c r="B219" s="2068"/>
      <c r="C219" s="2107"/>
      <c r="D219" s="999" t="s">
        <v>370</v>
      </c>
      <c r="E219" s="2105"/>
      <c r="F219" s="2105"/>
      <c r="G219" s="2105"/>
      <c r="H219" s="2105"/>
      <c r="I219" s="2105"/>
      <c r="J219" s="2105"/>
      <c r="K219" s="2105"/>
      <c r="L219" s="2105"/>
    </row>
    <row r="220" spans="2:12" ht="17.25" customHeight="1">
      <c r="B220" s="2068"/>
      <c r="C220" s="2107"/>
      <c r="D220" s="998" t="s">
        <v>348</v>
      </c>
      <c r="E220" s="2105"/>
      <c r="F220" s="2105"/>
      <c r="G220" s="2105"/>
      <c r="H220" s="2105"/>
      <c r="I220" s="2105"/>
      <c r="J220" s="2105"/>
      <c r="K220" s="2105"/>
      <c r="L220" s="2105"/>
    </row>
    <row r="221" spans="2:12" ht="24.75" customHeight="1">
      <c r="B221" s="2068"/>
      <c r="C221" s="2107"/>
      <c r="D221" s="1009" t="s">
        <v>369</v>
      </c>
      <c r="E221" s="2105"/>
      <c r="F221" s="2105"/>
      <c r="G221" s="2105"/>
      <c r="H221" s="2105"/>
      <c r="I221" s="2105"/>
      <c r="J221" s="2105"/>
      <c r="K221" s="2105"/>
      <c r="L221" s="2105"/>
    </row>
    <row r="222" spans="2:12" ht="15" customHeight="1">
      <c r="B222" s="2068"/>
      <c r="C222" s="2107"/>
      <c r="D222" s="998" t="s">
        <v>346</v>
      </c>
      <c r="E222" s="2105"/>
      <c r="F222" s="2105"/>
      <c r="G222" s="2105"/>
      <c r="H222" s="2105"/>
      <c r="I222" s="2105"/>
      <c r="J222" s="2105"/>
      <c r="K222" s="2105"/>
      <c r="L222" s="2105"/>
    </row>
    <row r="223" spans="2:12" ht="27" customHeight="1">
      <c r="B223" s="2068"/>
      <c r="C223" s="2098"/>
      <c r="D223" s="1009" t="s">
        <v>366</v>
      </c>
      <c r="E223" s="2106"/>
      <c r="F223" s="2106"/>
      <c r="G223" s="2106"/>
      <c r="H223" s="2106"/>
      <c r="I223" s="2106"/>
      <c r="J223" s="2106"/>
      <c r="K223" s="2106"/>
      <c r="L223" s="2106"/>
    </row>
    <row r="224" spans="2:12" ht="16.5" customHeight="1">
      <c r="B224" s="2095"/>
      <c r="C224" s="2098">
        <v>31003</v>
      </c>
      <c r="D224" s="998" t="s">
        <v>350</v>
      </c>
      <c r="E224" s="2065">
        <f>'Havelvac 3 mas 4 ՄԺԾԾ'!D519</f>
        <v>0</v>
      </c>
      <c r="F224" s="2065">
        <f>'Havelvac 3 mas 4 ՄԺԾԾ'!E519</f>
        <v>61126</v>
      </c>
      <c r="G224" s="2065">
        <f>'Havelvac 3 mas 4 ՄԺԾԾ'!F519</f>
        <v>0</v>
      </c>
      <c r="H224" s="2065">
        <f>'Havelvac 3 mas 4 ՄԺԾԾ'!G519</f>
        <v>0</v>
      </c>
      <c r="I224" s="2065">
        <f>'Havelvac 3 mas 4 ՄԺԾԾ'!H519</f>
        <v>0</v>
      </c>
      <c r="J224" s="2065">
        <f>'Havelvac 3 mas 4 ՄԺԾԾ'!I519</f>
        <v>0</v>
      </c>
      <c r="K224" s="2065">
        <f>'Havelvac 3 mas 4 ՄԺԾԾ'!J519</f>
        <v>0</v>
      </c>
      <c r="L224" s="2065">
        <f>'Havelvac 3 mas 4 ՄԺԾԾ'!K519</f>
        <v>0</v>
      </c>
    </row>
    <row r="225" spans="2:12" ht="29.25" customHeight="1">
      <c r="B225" s="2096"/>
      <c r="C225" s="2099"/>
      <c r="D225" s="1011" t="s">
        <v>368</v>
      </c>
      <c r="E225" s="2066"/>
      <c r="F225" s="2066"/>
      <c r="G225" s="2066"/>
      <c r="H225" s="2066"/>
      <c r="I225" s="2066"/>
      <c r="J225" s="2066"/>
      <c r="K225" s="2066"/>
      <c r="L225" s="2066"/>
    </row>
    <row r="226" spans="2:12" ht="17.25" customHeight="1">
      <c r="B226" s="2096"/>
      <c r="C226" s="2099"/>
      <c r="D226" s="998" t="s">
        <v>348</v>
      </c>
      <c r="E226" s="2066"/>
      <c r="F226" s="2066"/>
      <c r="G226" s="2066"/>
      <c r="H226" s="2066"/>
      <c r="I226" s="2066"/>
      <c r="J226" s="2066"/>
      <c r="K226" s="2066"/>
      <c r="L226" s="2066"/>
    </row>
    <row r="227" spans="2:12" s="1008" customFormat="1" ht="19.5" customHeight="1">
      <c r="B227" s="2096"/>
      <c r="C227" s="2099"/>
      <c r="D227" s="1010" t="s">
        <v>367</v>
      </c>
      <c r="E227" s="2066"/>
      <c r="F227" s="2066"/>
      <c r="G227" s="2066"/>
      <c r="H227" s="2066"/>
      <c r="I227" s="2066"/>
      <c r="J227" s="2066"/>
      <c r="K227" s="2066"/>
      <c r="L227" s="2066"/>
    </row>
    <row r="228" spans="2:12" s="1008" customFormat="1" ht="19.5" customHeight="1">
      <c r="B228" s="2096"/>
      <c r="C228" s="2099"/>
      <c r="D228" s="998" t="s">
        <v>346</v>
      </c>
      <c r="E228" s="2066"/>
      <c r="F228" s="2066"/>
      <c r="G228" s="2066"/>
      <c r="H228" s="2066"/>
      <c r="I228" s="2066"/>
      <c r="J228" s="2066"/>
      <c r="K228" s="2066"/>
      <c r="L228" s="2066"/>
    </row>
    <row r="229" spans="2:12" s="1008" customFormat="1" ht="28.5" customHeight="1">
      <c r="B229" s="2097"/>
      <c r="C229" s="2100"/>
      <c r="D229" s="1009" t="s">
        <v>366</v>
      </c>
      <c r="E229" s="2067"/>
      <c r="F229" s="2067"/>
      <c r="G229" s="2067"/>
      <c r="H229" s="2067"/>
      <c r="I229" s="2067"/>
      <c r="J229" s="2067"/>
      <c r="K229" s="2067"/>
      <c r="L229" s="2067"/>
    </row>
    <row r="230" spans="2:12" ht="16.5" customHeight="1">
      <c r="B230" s="2069"/>
      <c r="C230" s="2101">
        <v>32001</v>
      </c>
      <c r="D230" s="998" t="s">
        <v>350</v>
      </c>
      <c r="E230" s="2065">
        <f>'Havelvac 3 mas 4 ՄԺԾԾ'!D533</f>
        <v>346308.18</v>
      </c>
      <c r="F230" s="2065">
        <f>'Havelvac 3 mas 4 ՄԺԾԾ'!E533</f>
        <v>413781.5</v>
      </c>
      <c r="G230" s="2065">
        <f>'Havelvac 3 mas 4 ՄԺԾԾ'!F533</f>
        <v>476321.74000000005</v>
      </c>
      <c r="H230" s="2065">
        <f>'Havelvac 3 mas 4 ՄԺԾԾ'!G533</f>
        <v>1071723.915</v>
      </c>
      <c r="I230" s="2065">
        <f>'Havelvac 3 mas 4 ՄԺԾԾ'!H533</f>
        <v>1667126.09</v>
      </c>
      <c r="J230" s="2065">
        <f>'Havelvac 3 mas 4 ՄԺԾԾ'!I533</f>
        <v>2381608.7000000002</v>
      </c>
      <c r="K230" s="2065">
        <f>'Havelvac 3 mas 4 ՄԺԾԾ'!J533</f>
        <v>2405032.7999999998</v>
      </c>
      <c r="L230" s="2065">
        <f>'Havelvac 3 mas 4 ՄԺԾԾ'!K533</f>
        <v>2248867.9</v>
      </c>
    </row>
    <row r="231" spans="2:12" ht="16.5" customHeight="1">
      <c r="B231" s="2070"/>
      <c r="C231" s="2102"/>
      <c r="D231" s="999" t="s">
        <v>365</v>
      </c>
      <c r="E231" s="2066"/>
      <c r="F231" s="2066"/>
      <c r="G231" s="2066"/>
      <c r="H231" s="2066"/>
      <c r="I231" s="2066"/>
      <c r="J231" s="2066"/>
      <c r="K231" s="2066"/>
      <c r="L231" s="2066"/>
    </row>
    <row r="232" spans="2:12" ht="17.25" customHeight="1">
      <c r="B232" s="2070"/>
      <c r="C232" s="2102"/>
      <c r="D232" s="998" t="s">
        <v>348</v>
      </c>
      <c r="E232" s="2066"/>
      <c r="F232" s="2066"/>
      <c r="G232" s="2066"/>
      <c r="H232" s="2066"/>
      <c r="I232" s="2066"/>
      <c r="J232" s="2066"/>
      <c r="K232" s="2066"/>
      <c r="L232" s="2066"/>
    </row>
    <row r="233" spans="2:12" ht="28.5" customHeight="1">
      <c r="B233" s="2070"/>
      <c r="C233" s="2102"/>
      <c r="D233" s="1006" t="s">
        <v>364</v>
      </c>
      <c r="E233" s="2066"/>
      <c r="F233" s="2066"/>
      <c r="G233" s="2066"/>
      <c r="H233" s="2066"/>
      <c r="I233" s="2066"/>
      <c r="J233" s="2066"/>
      <c r="K233" s="2066"/>
      <c r="L233" s="2066"/>
    </row>
    <row r="234" spans="2:12" ht="15" customHeight="1">
      <c r="B234" s="2070"/>
      <c r="C234" s="2102"/>
      <c r="D234" s="998" t="s">
        <v>346</v>
      </c>
      <c r="E234" s="2066"/>
      <c r="F234" s="2066"/>
      <c r="G234" s="2066"/>
      <c r="H234" s="2066"/>
      <c r="I234" s="2066"/>
      <c r="J234" s="2066"/>
      <c r="K234" s="2066"/>
      <c r="L234" s="2066"/>
    </row>
    <row r="235" spans="2:12" ht="29.25" customHeight="1">
      <c r="B235" s="2071"/>
      <c r="C235" s="2103"/>
      <c r="D235" s="1007" t="s">
        <v>361</v>
      </c>
      <c r="E235" s="2067"/>
      <c r="F235" s="2067"/>
      <c r="G235" s="2067"/>
      <c r="H235" s="2067"/>
      <c r="I235" s="2067"/>
      <c r="J235" s="2067"/>
      <c r="K235" s="2067"/>
      <c r="L235" s="2067"/>
    </row>
    <row r="236" spans="2:12" ht="16.5" customHeight="1">
      <c r="B236" s="2068"/>
      <c r="C236" s="2108">
        <v>32002</v>
      </c>
      <c r="D236" s="998" t="s">
        <v>350</v>
      </c>
      <c r="E236" s="2057">
        <f>'Havelvac 3 mas 4 ՄԺԾԾ'!D548</f>
        <v>0</v>
      </c>
      <c r="F236" s="2057">
        <f>'Havelvac 3 mas 4 ՄԺԾԾ'!E548</f>
        <v>125733.3</v>
      </c>
      <c r="G236" s="2057">
        <f>'Havelvac 3 mas 4 ՄԺԾԾ'!F548</f>
        <v>38585.420000000006</v>
      </c>
      <c r="H236" s="2057">
        <f>'Havelvac 3 mas 4 ՄԺԾԾ'!G548</f>
        <v>86817.195000000007</v>
      </c>
      <c r="I236" s="2057">
        <f>'Havelvac 3 mas 4 ՄԺԾԾ'!H548</f>
        <v>135048.97</v>
      </c>
      <c r="J236" s="2057">
        <f>'Havelvac 3 mas 4 ՄԺԾԾ'!I548</f>
        <v>192927.1</v>
      </c>
      <c r="K236" s="2057">
        <f>'Havelvac 3 mas 4 ՄԺԾԾ'!J548</f>
        <v>250826.4</v>
      </c>
      <c r="L236" s="2057">
        <f>'Havelvac 3 mas 4 ՄԺԾԾ'!K548</f>
        <v>251386.9</v>
      </c>
    </row>
    <row r="237" spans="2:12" ht="14.25" customHeight="1">
      <c r="B237" s="2068"/>
      <c r="C237" s="2108"/>
      <c r="D237" s="999" t="s">
        <v>363</v>
      </c>
      <c r="E237" s="2057"/>
      <c r="F237" s="2057"/>
      <c r="G237" s="2057"/>
      <c r="H237" s="2057"/>
      <c r="I237" s="2057"/>
      <c r="J237" s="2057"/>
      <c r="K237" s="2057"/>
      <c r="L237" s="2057"/>
    </row>
    <row r="238" spans="2:12" ht="15" customHeight="1">
      <c r="B238" s="2068"/>
      <c r="C238" s="2108"/>
      <c r="D238" s="998" t="s">
        <v>348</v>
      </c>
      <c r="E238" s="2057"/>
      <c r="F238" s="2057"/>
      <c r="G238" s="2057"/>
      <c r="H238" s="2057"/>
      <c r="I238" s="2057"/>
      <c r="J238" s="2057"/>
      <c r="K238" s="2057"/>
      <c r="L238" s="2057"/>
    </row>
    <row r="239" spans="2:12" ht="27" customHeight="1">
      <c r="B239" s="2068"/>
      <c r="C239" s="2108"/>
      <c r="D239" s="1006" t="s">
        <v>362</v>
      </c>
      <c r="E239" s="2057"/>
      <c r="F239" s="2057"/>
      <c r="G239" s="2057"/>
      <c r="H239" s="2057"/>
      <c r="I239" s="2057"/>
      <c r="J239" s="2057"/>
      <c r="K239" s="2057"/>
      <c r="L239" s="2057"/>
    </row>
    <row r="240" spans="2:12" ht="15" customHeight="1">
      <c r="B240" s="2068"/>
      <c r="C240" s="2108"/>
      <c r="D240" s="998" t="s">
        <v>346</v>
      </c>
      <c r="E240" s="2057"/>
      <c r="F240" s="2057"/>
      <c r="G240" s="2057"/>
      <c r="H240" s="2057"/>
      <c r="I240" s="2057"/>
      <c r="J240" s="2057"/>
      <c r="K240" s="2057"/>
      <c r="L240" s="2057"/>
    </row>
    <row r="241" spans="2:12" ht="30" customHeight="1">
      <c r="B241" s="2068"/>
      <c r="C241" s="2108"/>
      <c r="D241" s="1005" t="s">
        <v>361</v>
      </c>
      <c r="E241" s="2057"/>
      <c r="F241" s="2057"/>
      <c r="G241" s="2057"/>
      <c r="H241" s="2057"/>
      <c r="I241" s="2057"/>
      <c r="J241" s="2057"/>
      <c r="K241" s="2057"/>
      <c r="L241" s="2057"/>
    </row>
    <row r="242" spans="2:12">
      <c r="B242" s="2050" t="s">
        <v>360</v>
      </c>
      <c r="C242" s="2051"/>
      <c r="D242" s="2052"/>
      <c r="E242" s="2052"/>
      <c r="F242" s="2052"/>
      <c r="G242" s="2052"/>
      <c r="H242" s="2052"/>
      <c r="I242" s="2052"/>
      <c r="J242" s="2052"/>
      <c r="K242" s="2052"/>
      <c r="L242" s="2052"/>
    </row>
    <row r="243" spans="2:12" ht="20.25" customHeight="1">
      <c r="B243" s="2082">
        <v>1186</v>
      </c>
      <c r="C243" s="2083"/>
      <c r="D243" s="998" t="s">
        <v>359</v>
      </c>
      <c r="E243" s="2057">
        <f t="shared" ref="E243:L243" si="7">E251+E257</f>
        <v>340305.2</v>
      </c>
      <c r="F243" s="2057">
        <f t="shared" si="7"/>
        <v>353377.10000000003</v>
      </c>
      <c r="G243" s="2057">
        <f t="shared" si="7"/>
        <v>69064.460000000006</v>
      </c>
      <c r="H243" s="2057">
        <f t="shared" si="7"/>
        <v>155395.03500000003</v>
      </c>
      <c r="I243" s="2057">
        <f t="shared" si="7"/>
        <v>241725.61000000002</v>
      </c>
      <c r="J243" s="2057">
        <f t="shared" si="7"/>
        <v>345322.3</v>
      </c>
      <c r="K243" s="2057">
        <f t="shared" si="7"/>
        <v>345322.3</v>
      </c>
      <c r="L243" s="2057">
        <f t="shared" si="7"/>
        <v>345322.3</v>
      </c>
    </row>
    <row r="244" spans="2:12" ht="14.25" customHeight="1">
      <c r="B244" s="2082"/>
      <c r="C244" s="2083"/>
      <c r="D244" s="1004" t="s">
        <v>352</v>
      </c>
      <c r="E244" s="2057"/>
      <c r="F244" s="2057"/>
      <c r="G244" s="2057"/>
      <c r="H244" s="2057"/>
      <c r="I244" s="2057"/>
      <c r="J244" s="2057"/>
      <c r="K244" s="2057"/>
      <c r="L244" s="2057"/>
    </row>
    <row r="245" spans="2:12">
      <c r="B245" s="2082"/>
      <c r="C245" s="2083"/>
      <c r="D245" s="998" t="s">
        <v>358</v>
      </c>
      <c r="E245" s="2057"/>
      <c r="F245" s="2057"/>
      <c r="G245" s="2057"/>
      <c r="H245" s="2057"/>
      <c r="I245" s="2057"/>
      <c r="J245" s="2057"/>
      <c r="K245" s="2057"/>
      <c r="L245" s="2057"/>
    </row>
    <row r="246" spans="2:12" ht="26.25" customHeight="1">
      <c r="B246" s="2082"/>
      <c r="C246" s="2083"/>
      <c r="D246" s="1003" t="s">
        <v>357</v>
      </c>
      <c r="E246" s="2057"/>
      <c r="F246" s="2057"/>
      <c r="G246" s="2057"/>
      <c r="H246" s="2057"/>
      <c r="I246" s="2057"/>
      <c r="J246" s="2057"/>
      <c r="K246" s="2057"/>
      <c r="L246" s="2057"/>
    </row>
    <row r="247" spans="2:12" ht="13.5" customHeight="1">
      <c r="B247" s="2082"/>
      <c r="C247" s="2083"/>
      <c r="D247" s="998" t="s">
        <v>356</v>
      </c>
      <c r="E247" s="2057"/>
      <c r="F247" s="2057"/>
      <c r="G247" s="2057"/>
      <c r="H247" s="2057"/>
      <c r="I247" s="2057"/>
      <c r="J247" s="2057"/>
      <c r="K247" s="2057"/>
      <c r="L247" s="2057"/>
    </row>
    <row r="248" spans="2:12" ht="38.25" customHeight="1">
      <c r="B248" s="2072"/>
      <c r="C248" s="2083"/>
      <c r="D248" s="1003" t="s">
        <v>355</v>
      </c>
      <c r="E248" s="2057"/>
      <c r="F248" s="2057"/>
      <c r="G248" s="2057"/>
      <c r="H248" s="2057"/>
      <c r="I248" s="2057"/>
      <c r="J248" s="2057"/>
      <c r="K248" s="2057"/>
      <c r="L248" s="2057"/>
    </row>
    <row r="249" spans="2:12" ht="15" customHeight="1">
      <c r="B249" s="2050" t="s">
        <v>354</v>
      </c>
      <c r="C249" s="2051"/>
      <c r="D249" s="2081"/>
      <c r="E249" s="2081"/>
      <c r="F249" s="2081"/>
      <c r="G249" s="2081"/>
      <c r="H249" s="2081"/>
      <c r="I249" s="2081"/>
      <c r="J249" s="2081"/>
      <c r="K249" s="2081"/>
      <c r="L249" s="2081"/>
    </row>
    <row r="250" spans="2:12" ht="13.5" customHeight="1">
      <c r="B250" s="2090"/>
      <c r="C250" s="2090"/>
      <c r="D250" s="1002" t="s">
        <v>353</v>
      </c>
      <c r="E250" s="1001"/>
      <c r="F250" s="1001"/>
      <c r="G250" s="1001"/>
      <c r="H250" s="1001"/>
      <c r="I250" s="1001"/>
      <c r="J250" s="1001"/>
      <c r="K250" s="1001"/>
      <c r="L250" s="1000"/>
    </row>
    <row r="251" spans="2:12" ht="15.75" customHeight="1">
      <c r="B251" s="2068"/>
      <c r="C251" s="2072">
        <v>11001</v>
      </c>
      <c r="D251" s="998" t="s">
        <v>350</v>
      </c>
      <c r="E251" s="2057">
        <f>'Havelvac 3 mas 4 ՄԺԾԾ'!D568</f>
        <v>37895.9</v>
      </c>
      <c r="F251" s="2057">
        <f>'Havelvac 3 mas 4 ՄԺԾԾ'!E568</f>
        <v>50604.9</v>
      </c>
      <c r="G251" s="2057">
        <f>'Havelvac 3 mas 4 ՄԺԾԾ'!F568</f>
        <v>8510.02</v>
      </c>
      <c r="H251" s="2057">
        <f>'Havelvac 3 mas 4 ՄԺԾԾ'!G568</f>
        <v>19147.544999999998</v>
      </c>
      <c r="I251" s="2057">
        <f>'Havelvac 3 mas 4 ՄԺԾԾ'!H568</f>
        <v>29785.069999999996</v>
      </c>
      <c r="J251" s="2057">
        <f>'Havelvac 3 mas 4 ՄԺԾԾ'!I568</f>
        <v>42550.1</v>
      </c>
      <c r="K251" s="2057">
        <f>'Havelvac 3 mas 4 ՄԺԾԾ'!J568</f>
        <v>42550.1</v>
      </c>
      <c r="L251" s="2057">
        <f>'Havelvac 3 mas 4 ՄԺԾԾ'!K568</f>
        <v>42550.1</v>
      </c>
    </row>
    <row r="252" spans="2:12" ht="15" customHeight="1">
      <c r="B252" s="2068"/>
      <c r="C252" s="2073"/>
      <c r="D252" s="999" t="s">
        <v>352</v>
      </c>
      <c r="E252" s="2057"/>
      <c r="F252" s="2057"/>
      <c r="G252" s="2057"/>
      <c r="H252" s="2057"/>
      <c r="I252" s="2057"/>
      <c r="J252" s="2057"/>
      <c r="K252" s="2057"/>
      <c r="L252" s="2057"/>
    </row>
    <row r="253" spans="2:12" ht="13.5" customHeight="1">
      <c r="B253" s="2068"/>
      <c r="C253" s="2073"/>
      <c r="D253" s="998" t="s">
        <v>348</v>
      </c>
      <c r="E253" s="2057"/>
      <c r="F253" s="2057"/>
      <c r="G253" s="2057"/>
      <c r="H253" s="2057"/>
      <c r="I253" s="2057"/>
      <c r="J253" s="2057"/>
      <c r="K253" s="2057"/>
      <c r="L253" s="2057"/>
    </row>
    <row r="254" spans="2:12" ht="39.75" customHeight="1">
      <c r="B254" s="2068"/>
      <c r="C254" s="2073"/>
      <c r="D254" s="999" t="s">
        <v>351</v>
      </c>
      <c r="E254" s="2057"/>
      <c r="F254" s="2057"/>
      <c r="G254" s="2057"/>
      <c r="H254" s="2057"/>
      <c r="I254" s="2057"/>
      <c r="J254" s="2057"/>
      <c r="K254" s="2057"/>
      <c r="L254" s="2057"/>
    </row>
    <row r="255" spans="2:12" ht="14.25" customHeight="1">
      <c r="B255" s="2068"/>
      <c r="C255" s="2073"/>
      <c r="D255" s="998" t="s">
        <v>346</v>
      </c>
      <c r="E255" s="2057"/>
      <c r="F255" s="2057"/>
      <c r="G255" s="2057"/>
      <c r="H255" s="2057"/>
      <c r="I255" s="2057"/>
      <c r="J255" s="2057"/>
      <c r="K255" s="2057"/>
      <c r="L255" s="2057"/>
    </row>
    <row r="256" spans="2:12" ht="17.25" customHeight="1">
      <c r="B256" s="2068"/>
      <c r="C256" s="2074"/>
      <c r="D256" s="997" t="s">
        <v>345</v>
      </c>
      <c r="E256" s="2057"/>
      <c r="F256" s="2057"/>
      <c r="G256" s="2057"/>
      <c r="H256" s="2057"/>
      <c r="I256" s="2057"/>
      <c r="J256" s="2057"/>
      <c r="K256" s="2057"/>
      <c r="L256" s="2057"/>
    </row>
    <row r="257" spans="2:12" ht="13.5" customHeight="1">
      <c r="B257" s="2068"/>
      <c r="C257" s="2072">
        <v>11002</v>
      </c>
      <c r="D257" s="998" t="s">
        <v>350</v>
      </c>
      <c r="E257" s="2057">
        <f>'Havelvac 3 mas 4 ՄԺԾԾ'!D586</f>
        <v>302409.3</v>
      </c>
      <c r="F257" s="2057">
        <f>'Havelvac 3 mas 4 ՄԺԾԾ'!E586</f>
        <v>302772.2</v>
      </c>
      <c r="G257" s="2057">
        <f>'Havelvac 3 mas 4 ՄԺԾԾ'!F586</f>
        <v>60554.44</v>
      </c>
      <c r="H257" s="2057">
        <f>'Havelvac 3 mas 4 ՄԺԾԾ'!G586</f>
        <v>136247.49000000002</v>
      </c>
      <c r="I257" s="2057">
        <f>'Havelvac 3 mas 4 ՄԺԾԾ'!H586</f>
        <v>211940.54</v>
      </c>
      <c r="J257" s="2057">
        <f>'Havelvac 3 mas 4 ՄԺԾԾ'!I586</f>
        <v>302772.2</v>
      </c>
      <c r="K257" s="2057">
        <f>'Havelvac 3 mas 4 ՄԺԾԾ'!J586</f>
        <v>302772.2</v>
      </c>
      <c r="L257" s="2057">
        <f>'Havelvac 3 mas 4 ՄԺԾԾ'!K586</f>
        <v>302772.2</v>
      </c>
    </row>
    <row r="258" spans="2:12" ht="13.5" customHeight="1">
      <c r="B258" s="2068"/>
      <c r="C258" s="2073"/>
      <c r="D258" s="999" t="s">
        <v>349</v>
      </c>
      <c r="E258" s="2057"/>
      <c r="F258" s="2057"/>
      <c r="G258" s="2057"/>
      <c r="H258" s="2057"/>
      <c r="I258" s="2057"/>
      <c r="J258" s="2057"/>
      <c r="K258" s="2057"/>
      <c r="L258" s="2057"/>
    </row>
    <row r="259" spans="2:12" ht="13.5" customHeight="1">
      <c r="B259" s="2068"/>
      <c r="C259" s="2073"/>
      <c r="D259" s="998" t="s">
        <v>348</v>
      </c>
      <c r="E259" s="2057"/>
      <c r="F259" s="2057"/>
      <c r="G259" s="2057"/>
      <c r="H259" s="2057"/>
      <c r="I259" s="2057"/>
      <c r="J259" s="2057"/>
      <c r="K259" s="2057"/>
      <c r="L259" s="2057"/>
    </row>
    <row r="260" spans="2:12" ht="27" customHeight="1">
      <c r="B260" s="2068"/>
      <c r="C260" s="2073"/>
      <c r="D260" s="999" t="s">
        <v>347</v>
      </c>
      <c r="E260" s="2057"/>
      <c r="F260" s="2057"/>
      <c r="G260" s="2057"/>
      <c r="H260" s="2057"/>
      <c r="I260" s="2057"/>
      <c r="J260" s="2057"/>
      <c r="K260" s="2057"/>
      <c r="L260" s="2057"/>
    </row>
    <row r="261" spans="2:12" ht="13.5" customHeight="1">
      <c r="B261" s="2068"/>
      <c r="C261" s="2073"/>
      <c r="D261" s="998" t="s">
        <v>346</v>
      </c>
      <c r="E261" s="2057"/>
      <c r="F261" s="2057"/>
      <c r="G261" s="2057"/>
      <c r="H261" s="2057"/>
      <c r="I261" s="2057"/>
      <c r="J261" s="2057"/>
      <c r="K261" s="2057"/>
      <c r="L261" s="2057"/>
    </row>
    <row r="262" spans="2:12" ht="15" customHeight="1">
      <c r="B262" s="2068"/>
      <c r="C262" s="2074"/>
      <c r="D262" s="997" t="s">
        <v>345</v>
      </c>
      <c r="E262" s="2057"/>
      <c r="F262" s="2057"/>
      <c r="G262" s="2057"/>
      <c r="H262" s="2057"/>
      <c r="I262" s="2057"/>
      <c r="J262" s="2057"/>
      <c r="K262" s="2057"/>
      <c r="L262" s="2057"/>
    </row>
    <row r="263" spans="2:12">
      <c r="B263" s="996"/>
      <c r="C263" s="996"/>
      <c r="D263" s="996"/>
      <c r="E263" s="996"/>
      <c r="F263" s="996"/>
      <c r="G263" s="996"/>
      <c r="H263" s="996"/>
      <c r="I263" s="996"/>
      <c r="J263" s="996"/>
      <c r="K263" s="996"/>
      <c r="L263" s="996"/>
    </row>
    <row r="264" spans="2:12">
      <c r="B264" s="996"/>
      <c r="C264" s="996"/>
      <c r="D264" s="996"/>
      <c r="E264" s="996"/>
      <c r="F264" s="996"/>
      <c r="G264" s="996"/>
      <c r="H264" s="996"/>
      <c r="I264" s="996"/>
      <c r="J264" s="996"/>
      <c r="K264" s="996"/>
      <c r="L264" s="996"/>
    </row>
    <row r="265" spans="2:12">
      <c r="B265" s="996"/>
      <c r="C265" s="996"/>
      <c r="D265" s="996"/>
      <c r="E265" s="996">
        <f t="shared" ref="E265:L265" si="8">E179-E211</f>
        <v>1713154.8199999998</v>
      </c>
      <c r="F265" s="996">
        <f t="shared" si="8"/>
        <v>2249622.5999999996</v>
      </c>
      <c r="G265" s="996">
        <f t="shared" si="8"/>
        <v>958067.40000000014</v>
      </c>
      <c r="H265" s="996">
        <f t="shared" si="8"/>
        <v>2155651.65</v>
      </c>
      <c r="I265" s="996">
        <f t="shared" si="8"/>
        <v>3353235.9000000004</v>
      </c>
      <c r="J265" s="996">
        <f t="shared" si="8"/>
        <v>4790337</v>
      </c>
      <c r="K265" s="996">
        <f t="shared" si="8"/>
        <v>4854810.2</v>
      </c>
      <c r="L265" s="996">
        <f t="shared" si="8"/>
        <v>4700985.5000000009</v>
      </c>
    </row>
  </sheetData>
  <mergeCells count="419">
    <mergeCell ref="B217:C217"/>
    <mergeCell ref="B211:B216"/>
    <mergeCell ref="C211:C216"/>
    <mergeCell ref="B199:B204"/>
    <mergeCell ref="C199:C204"/>
    <mergeCell ref="E199:E204"/>
    <mergeCell ref="F199:F204"/>
    <mergeCell ref="G199:G204"/>
    <mergeCell ref="J179:J184"/>
    <mergeCell ref="F41:F46"/>
    <mergeCell ref="G41:G46"/>
    <mergeCell ref="I224:I229"/>
    <mergeCell ref="J224:J229"/>
    <mergeCell ref="K224:K229"/>
    <mergeCell ref="G218:G223"/>
    <mergeCell ref="H218:H223"/>
    <mergeCell ref="E211:E216"/>
    <mergeCell ref="F211:F216"/>
    <mergeCell ref="G211:G216"/>
    <mergeCell ref="K179:K184"/>
    <mergeCell ref="H187:H192"/>
    <mergeCell ref="I187:I192"/>
    <mergeCell ref="J187:J192"/>
    <mergeCell ref="K187:K192"/>
    <mergeCell ref="K153:K158"/>
    <mergeCell ref="H117:H122"/>
    <mergeCell ref="I117:I122"/>
    <mergeCell ref="J117:J122"/>
    <mergeCell ref="K111:K116"/>
    <mergeCell ref="D75:L75"/>
    <mergeCell ref="K48:K53"/>
    <mergeCell ref="L48:L53"/>
    <mergeCell ref="K56:K61"/>
    <mergeCell ref="L224:L229"/>
    <mergeCell ref="K41:K46"/>
    <mergeCell ref="L41:L46"/>
    <mergeCell ref="I41:I46"/>
    <mergeCell ref="J41:J46"/>
    <mergeCell ref="I230:I235"/>
    <mergeCell ref="J230:J235"/>
    <mergeCell ref="K230:K235"/>
    <mergeCell ref="L230:L235"/>
    <mergeCell ref="I218:I223"/>
    <mergeCell ref="J218:J223"/>
    <mergeCell ref="K218:K223"/>
    <mergeCell ref="K199:K204"/>
    <mergeCell ref="D217:L217"/>
    <mergeCell ref="H205:H210"/>
    <mergeCell ref="I205:I210"/>
    <mergeCell ref="J205:J210"/>
    <mergeCell ref="K205:K210"/>
    <mergeCell ref="L205:L210"/>
    <mergeCell ref="H211:H216"/>
    <mergeCell ref="I211:I216"/>
    <mergeCell ref="J211:J216"/>
    <mergeCell ref="K211:K216"/>
    <mergeCell ref="L211:L216"/>
    <mergeCell ref="B236:B241"/>
    <mergeCell ref="C236:C241"/>
    <mergeCell ref="E236:E241"/>
    <mergeCell ref="F236:F241"/>
    <mergeCell ref="G236:G241"/>
    <mergeCell ref="H236:H241"/>
    <mergeCell ref="I236:I241"/>
    <mergeCell ref="J236:J241"/>
    <mergeCell ref="K236:K241"/>
    <mergeCell ref="L236:L241"/>
    <mergeCell ref="B32:C32"/>
    <mergeCell ref="D32:L32"/>
    <mergeCell ref="B33:B38"/>
    <mergeCell ref="C33:C38"/>
    <mergeCell ref="E33:E38"/>
    <mergeCell ref="F33:F38"/>
    <mergeCell ref="B224:B229"/>
    <mergeCell ref="C224:C229"/>
    <mergeCell ref="E224:E229"/>
    <mergeCell ref="F224:F229"/>
    <mergeCell ref="G224:G229"/>
    <mergeCell ref="H224:H229"/>
    <mergeCell ref="B230:B235"/>
    <mergeCell ref="C230:C235"/>
    <mergeCell ref="E230:E235"/>
    <mergeCell ref="F230:F235"/>
    <mergeCell ref="G230:G235"/>
    <mergeCell ref="H230:H235"/>
    <mergeCell ref="L218:L223"/>
    <mergeCell ref="B218:B223"/>
    <mergeCell ref="C218:C223"/>
    <mergeCell ref="E218:E223"/>
    <mergeCell ref="F218:F223"/>
    <mergeCell ref="L193:L198"/>
    <mergeCell ref="L199:L204"/>
    <mergeCell ref="B205:B210"/>
    <mergeCell ref="C205:C210"/>
    <mergeCell ref="E205:E210"/>
    <mergeCell ref="F205:F210"/>
    <mergeCell ref="G205:G210"/>
    <mergeCell ref="H199:H204"/>
    <mergeCell ref="I199:I204"/>
    <mergeCell ref="J199:J204"/>
    <mergeCell ref="B193:B198"/>
    <mergeCell ref="C193:C198"/>
    <mergeCell ref="E193:E198"/>
    <mergeCell ref="F193:F198"/>
    <mergeCell ref="G193:G198"/>
    <mergeCell ref="H193:H198"/>
    <mergeCell ref="I193:I198"/>
    <mergeCell ref="J193:J198"/>
    <mergeCell ref="K193:K198"/>
    <mergeCell ref="B178:C178"/>
    <mergeCell ref="D178:L178"/>
    <mergeCell ref="B172:B177"/>
    <mergeCell ref="C172:C177"/>
    <mergeCell ref="E172:E177"/>
    <mergeCell ref="F172:F177"/>
    <mergeCell ref="G172:G177"/>
    <mergeCell ref="B186:C186"/>
    <mergeCell ref="B187:B192"/>
    <mergeCell ref="C187:C192"/>
    <mergeCell ref="E187:E192"/>
    <mergeCell ref="F187:F192"/>
    <mergeCell ref="G187:G192"/>
    <mergeCell ref="L179:L184"/>
    <mergeCell ref="B185:C185"/>
    <mergeCell ref="D185:L185"/>
    <mergeCell ref="B179:B184"/>
    <mergeCell ref="C179:C184"/>
    <mergeCell ref="E179:E184"/>
    <mergeCell ref="F179:F184"/>
    <mergeCell ref="G179:G184"/>
    <mergeCell ref="H179:H184"/>
    <mergeCell ref="I179:I184"/>
    <mergeCell ref="L187:L192"/>
    <mergeCell ref="L165:L170"/>
    <mergeCell ref="B159:B164"/>
    <mergeCell ref="C159:C164"/>
    <mergeCell ref="E159:E164"/>
    <mergeCell ref="F159:F164"/>
    <mergeCell ref="G159:G164"/>
    <mergeCell ref="I172:I177"/>
    <mergeCell ref="H172:H177"/>
    <mergeCell ref="H159:H164"/>
    <mergeCell ref="I159:I164"/>
    <mergeCell ref="B171:C171"/>
    <mergeCell ref="D171:L171"/>
    <mergeCell ref="J172:J177"/>
    <mergeCell ref="K172:K177"/>
    <mergeCell ref="L172:L177"/>
    <mergeCell ref="B165:B170"/>
    <mergeCell ref="C165:C170"/>
    <mergeCell ref="E165:E170"/>
    <mergeCell ref="F165:F170"/>
    <mergeCell ref="G165:G170"/>
    <mergeCell ref="H165:H170"/>
    <mergeCell ref="I165:I170"/>
    <mergeCell ref="J165:J170"/>
    <mergeCell ref="K165:K170"/>
    <mergeCell ref="L153:L158"/>
    <mergeCell ref="H147:H152"/>
    <mergeCell ref="I147:I152"/>
    <mergeCell ref="J147:J152"/>
    <mergeCell ref="K147:K152"/>
    <mergeCell ref="L147:L152"/>
    <mergeCell ref="J159:J164"/>
    <mergeCell ref="K159:K164"/>
    <mergeCell ref="L159:L164"/>
    <mergeCell ref="B153:B158"/>
    <mergeCell ref="C153:C158"/>
    <mergeCell ref="E153:E158"/>
    <mergeCell ref="F153:F158"/>
    <mergeCell ref="G153:G158"/>
    <mergeCell ref="H141:H146"/>
    <mergeCell ref="H153:H158"/>
    <mergeCell ref="L135:L140"/>
    <mergeCell ref="B141:B146"/>
    <mergeCell ref="C141:C146"/>
    <mergeCell ref="E141:E146"/>
    <mergeCell ref="F141:F146"/>
    <mergeCell ref="G141:G146"/>
    <mergeCell ref="I141:I146"/>
    <mergeCell ref="J141:J146"/>
    <mergeCell ref="K141:K146"/>
    <mergeCell ref="L141:L146"/>
    <mergeCell ref="B147:B152"/>
    <mergeCell ref="C147:C152"/>
    <mergeCell ref="E147:E152"/>
    <mergeCell ref="F147:F152"/>
    <mergeCell ref="G147:G152"/>
    <mergeCell ref="I153:I158"/>
    <mergeCell ref="J153:J158"/>
    <mergeCell ref="B135:B140"/>
    <mergeCell ref="C135:C140"/>
    <mergeCell ref="E135:E140"/>
    <mergeCell ref="F135:F140"/>
    <mergeCell ref="G135:G140"/>
    <mergeCell ref="H135:H140"/>
    <mergeCell ref="I135:I140"/>
    <mergeCell ref="J135:J140"/>
    <mergeCell ref="K135:K140"/>
    <mergeCell ref="B129:B134"/>
    <mergeCell ref="C129:C134"/>
    <mergeCell ref="E129:E134"/>
    <mergeCell ref="F129:F134"/>
    <mergeCell ref="G129:G134"/>
    <mergeCell ref="H129:H134"/>
    <mergeCell ref="I129:I134"/>
    <mergeCell ref="J129:J134"/>
    <mergeCell ref="K117:K122"/>
    <mergeCell ref="B123:B128"/>
    <mergeCell ref="C123:C128"/>
    <mergeCell ref="E123:E128"/>
    <mergeCell ref="F123:F128"/>
    <mergeCell ref="G123:G128"/>
    <mergeCell ref="H123:H128"/>
    <mergeCell ref="I123:I128"/>
    <mergeCell ref="J123:J128"/>
    <mergeCell ref="K123:K128"/>
    <mergeCell ref="K129:K134"/>
    <mergeCell ref="B117:B122"/>
    <mergeCell ref="C117:C122"/>
    <mergeCell ref="E117:E122"/>
    <mergeCell ref="F117:F122"/>
    <mergeCell ref="G117:G122"/>
    <mergeCell ref="B111:B116"/>
    <mergeCell ref="C111:C116"/>
    <mergeCell ref="E111:E116"/>
    <mergeCell ref="F111:F116"/>
    <mergeCell ref="G111:G116"/>
    <mergeCell ref="H111:H116"/>
    <mergeCell ref="I111:I116"/>
    <mergeCell ref="J111:J116"/>
    <mergeCell ref="B98:C98"/>
    <mergeCell ref="B99:B104"/>
    <mergeCell ref="C99:C104"/>
    <mergeCell ref="E99:E104"/>
    <mergeCell ref="F99:F104"/>
    <mergeCell ref="G99:G104"/>
    <mergeCell ref="I91:I96"/>
    <mergeCell ref="J91:J96"/>
    <mergeCell ref="K91:K96"/>
    <mergeCell ref="L99:L104"/>
    <mergeCell ref="B105:B110"/>
    <mergeCell ref="C105:C110"/>
    <mergeCell ref="E105:E110"/>
    <mergeCell ref="F105:F110"/>
    <mergeCell ref="G105:G110"/>
    <mergeCell ref="H105:H110"/>
    <mergeCell ref="I105:I110"/>
    <mergeCell ref="J105:J110"/>
    <mergeCell ref="K105:K110"/>
    <mergeCell ref="L105:L110"/>
    <mergeCell ref="H243:H248"/>
    <mergeCell ref="B90:C90"/>
    <mergeCell ref="D90:L90"/>
    <mergeCell ref="K76:K81"/>
    <mergeCell ref="L76:L81"/>
    <mergeCell ref="B82:C82"/>
    <mergeCell ref="D82:L82"/>
    <mergeCell ref="B76:B81"/>
    <mergeCell ref="C76:C81"/>
    <mergeCell ref="E76:E81"/>
    <mergeCell ref="F76:F81"/>
    <mergeCell ref="G76:G81"/>
    <mergeCell ref="H76:H81"/>
    <mergeCell ref="B83:C83"/>
    <mergeCell ref="B84:B89"/>
    <mergeCell ref="C84:C89"/>
    <mergeCell ref="E84:E89"/>
    <mergeCell ref="F84:F89"/>
    <mergeCell ref="G84:G89"/>
    <mergeCell ref="H84:H89"/>
    <mergeCell ref="I84:I89"/>
    <mergeCell ref="J84:J89"/>
    <mergeCell ref="B97:C97"/>
    <mergeCell ref="D97:L97"/>
    <mergeCell ref="B249:C249"/>
    <mergeCell ref="D249:L249"/>
    <mergeCell ref="B243:B248"/>
    <mergeCell ref="C243:C248"/>
    <mergeCell ref="E243:E248"/>
    <mergeCell ref="F243:F248"/>
    <mergeCell ref="G243:G248"/>
    <mergeCell ref="B257:B262"/>
    <mergeCell ref="C257:C262"/>
    <mergeCell ref="E257:E262"/>
    <mergeCell ref="F257:F262"/>
    <mergeCell ref="G257:G262"/>
    <mergeCell ref="B250:C250"/>
    <mergeCell ref="B251:B256"/>
    <mergeCell ref="C251:C256"/>
    <mergeCell ref="E251:E256"/>
    <mergeCell ref="F251:F256"/>
    <mergeCell ref="H251:H256"/>
    <mergeCell ref="I251:I256"/>
    <mergeCell ref="J251:J256"/>
    <mergeCell ref="K251:K256"/>
    <mergeCell ref="L251:L256"/>
    <mergeCell ref="G251:G256"/>
    <mergeCell ref="I243:I248"/>
    <mergeCell ref="J48:J53"/>
    <mergeCell ref="H41:H46"/>
    <mergeCell ref="I56:I61"/>
    <mergeCell ref="J56:J61"/>
    <mergeCell ref="H257:H262"/>
    <mergeCell ref="I257:I262"/>
    <mergeCell ref="J257:J262"/>
    <mergeCell ref="K257:K262"/>
    <mergeCell ref="L257:L262"/>
    <mergeCell ref="J243:J248"/>
    <mergeCell ref="K243:K248"/>
    <mergeCell ref="L243:L248"/>
    <mergeCell ref="K84:K89"/>
    <mergeCell ref="L84:L89"/>
    <mergeCell ref="L91:L96"/>
    <mergeCell ref="H99:H104"/>
    <mergeCell ref="I99:I104"/>
    <mergeCell ref="J99:J104"/>
    <mergeCell ref="K99:K104"/>
    <mergeCell ref="L111:L116"/>
    <mergeCell ref="L123:L128"/>
    <mergeCell ref="L117:L122"/>
    <mergeCell ref="L129:L134"/>
    <mergeCell ref="I76:I81"/>
    <mergeCell ref="B242:C242"/>
    <mergeCell ref="D242:L242"/>
    <mergeCell ref="E62:E67"/>
    <mergeCell ref="F62:F67"/>
    <mergeCell ref="G62:G67"/>
    <mergeCell ref="B75:C75"/>
    <mergeCell ref="K62:K67"/>
    <mergeCell ref="L62:L67"/>
    <mergeCell ref="B68:C68"/>
    <mergeCell ref="D68:L68"/>
    <mergeCell ref="B62:B67"/>
    <mergeCell ref="C62:C67"/>
    <mergeCell ref="I69:I74"/>
    <mergeCell ref="J69:J74"/>
    <mergeCell ref="H62:H67"/>
    <mergeCell ref="I62:I67"/>
    <mergeCell ref="J62:J67"/>
    <mergeCell ref="J76:J81"/>
    <mergeCell ref="B91:B96"/>
    <mergeCell ref="C91:C96"/>
    <mergeCell ref="E91:E96"/>
    <mergeCell ref="F91:F96"/>
    <mergeCell ref="G91:G96"/>
    <mergeCell ref="H91:H96"/>
    <mergeCell ref="H20:H25"/>
    <mergeCell ref="B26:B31"/>
    <mergeCell ref="C26:C31"/>
    <mergeCell ref="E26:E31"/>
    <mergeCell ref="F26:F31"/>
    <mergeCell ref="G26:G31"/>
    <mergeCell ref="H26:H31"/>
    <mergeCell ref="L56:L61"/>
    <mergeCell ref="B40:C40"/>
    <mergeCell ref="B41:B46"/>
    <mergeCell ref="C41:C46"/>
    <mergeCell ref="E41:E46"/>
    <mergeCell ref="B54:C54"/>
    <mergeCell ref="B55:C55"/>
    <mergeCell ref="B56:B61"/>
    <mergeCell ref="C56:C61"/>
    <mergeCell ref="E56:E61"/>
    <mergeCell ref="G33:G38"/>
    <mergeCell ref="H33:H38"/>
    <mergeCell ref="I33:I38"/>
    <mergeCell ref="J33:J38"/>
    <mergeCell ref="F56:F61"/>
    <mergeCell ref="G56:G61"/>
    <mergeCell ref="H56:H61"/>
    <mergeCell ref="F12:F17"/>
    <mergeCell ref="K69:K74"/>
    <mergeCell ref="L69:L74"/>
    <mergeCell ref="B69:B74"/>
    <mergeCell ref="C69:C74"/>
    <mergeCell ref="E69:E74"/>
    <mergeCell ref="F69:F74"/>
    <mergeCell ref="G69:G74"/>
    <mergeCell ref="H69:H74"/>
    <mergeCell ref="B19:C19"/>
    <mergeCell ref="G12:G17"/>
    <mergeCell ref="H12:H17"/>
    <mergeCell ref="I26:I31"/>
    <mergeCell ref="J26:J31"/>
    <mergeCell ref="K26:K31"/>
    <mergeCell ref="L26:L31"/>
    <mergeCell ref="I20:I25"/>
    <mergeCell ref="J20:J25"/>
    <mergeCell ref="K20:K25"/>
    <mergeCell ref="B20:B25"/>
    <mergeCell ref="C20:C25"/>
    <mergeCell ref="E20:E25"/>
    <mergeCell ref="F20:F25"/>
    <mergeCell ref="G20:G25"/>
    <mergeCell ref="B10:D10"/>
    <mergeCell ref="B47:C47"/>
    <mergeCell ref="D47:L47"/>
    <mergeCell ref="B48:B53"/>
    <mergeCell ref="C48:C53"/>
    <mergeCell ref="E48:E53"/>
    <mergeCell ref="F48:F53"/>
    <mergeCell ref="G48:G53"/>
    <mergeCell ref="H48:H53"/>
    <mergeCell ref="I48:I53"/>
    <mergeCell ref="B11:C11"/>
    <mergeCell ref="D11:L11"/>
    <mergeCell ref="K33:K38"/>
    <mergeCell ref="L33:L38"/>
    <mergeCell ref="B39:C39"/>
    <mergeCell ref="I12:I17"/>
    <mergeCell ref="J12:J17"/>
    <mergeCell ref="K12:K17"/>
    <mergeCell ref="L12:L17"/>
    <mergeCell ref="B18:C18"/>
    <mergeCell ref="B12:B17"/>
    <mergeCell ref="C12:C17"/>
    <mergeCell ref="E12:E17"/>
    <mergeCell ref="L20:L25"/>
  </mergeCells>
  <hyperlinks>
    <hyperlink ref="B48" location="_ftn1" display="_ftn1"/>
    <hyperlink ref="D55" location="_ftn3" display="_ftn3"/>
    <hyperlink ref="D19" location="_ftn3" display="_ftn3"/>
    <hyperlink ref="D250" location="_ftn3" display="_ftn3"/>
    <hyperlink ref="D83" location="_ftn3" display="_ftn3"/>
    <hyperlink ref="D98" location="_ftn3" display="_ftn3"/>
    <hyperlink ref="D186" location="_ftn3" display="_ftn3"/>
    <hyperlink ref="D40" location="_ftn3" display="_ftn3"/>
  </hyperlinks>
  <pageMargins left="0.23622047244094491" right="0.23622047244094491" top="0.3" bottom="0.24" header="0.31496062992125984" footer="0.28000000000000003"/>
  <pageSetup paperSize="9" scale="80" orientation="landscape"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25"/>
  <sheetViews>
    <sheetView zoomScaleNormal="100" zoomScaleSheetLayoutView="100" workbookViewId="0">
      <selection activeCell="D592" sqref="D592"/>
    </sheetView>
  </sheetViews>
  <sheetFormatPr defaultColWidth="9.42578125" defaultRowHeight="12.75"/>
  <cols>
    <col min="1" max="1" width="1.5703125" style="1059" customWidth="1"/>
    <col min="2" max="2" width="35.85546875" style="1059" customWidth="1"/>
    <col min="3" max="3" width="61.85546875" style="1059" customWidth="1"/>
    <col min="4" max="4" width="12.140625" style="1059" customWidth="1"/>
    <col min="5" max="5" width="11.7109375" style="1059" customWidth="1"/>
    <col min="6" max="7" width="10.7109375" style="1059" hidden="1" customWidth="1"/>
    <col min="8" max="8" width="12.140625" style="1059" hidden="1" customWidth="1"/>
    <col min="9" max="9" width="13" style="1059" customWidth="1"/>
    <col min="10" max="10" width="12.85546875" style="1060" customWidth="1"/>
    <col min="11" max="11" width="12.5703125" style="1059" customWidth="1"/>
    <col min="12" max="12" width="7.42578125" style="1059" customWidth="1"/>
    <col min="13" max="15" width="9.140625" style="1060" customWidth="1"/>
    <col min="16" max="252" width="9.140625" style="1059" customWidth="1"/>
    <col min="253" max="253" width="0" style="1059" hidden="1" customWidth="1"/>
    <col min="254" max="254" width="42" style="1059" customWidth="1"/>
    <col min="255" max="255" width="62.85546875" style="1059" customWidth="1"/>
    <col min="256" max="256" width="9.42578125" style="1059"/>
    <col min="257" max="257" width="0" style="1059" hidden="1" customWidth="1"/>
    <col min="258" max="258" width="42" style="1059" customWidth="1"/>
    <col min="259" max="259" width="62.85546875" style="1059" customWidth="1"/>
    <col min="260" max="260" width="13.28515625" style="1059" customWidth="1"/>
    <col min="261" max="261" width="11" style="1059" customWidth="1"/>
    <col min="262" max="262" width="10.5703125" style="1059" customWidth="1"/>
    <col min="263" max="263" width="10.7109375" style="1059" customWidth="1"/>
    <col min="264" max="264" width="10.5703125" style="1059" customWidth="1"/>
    <col min="265" max="265" width="12.85546875" style="1059" customWidth="1"/>
    <col min="266" max="266" width="9.85546875" style="1059" bestFit="1" customWidth="1"/>
    <col min="267" max="508" width="9.140625" style="1059" customWidth="1"/>
    <col min="509" max="509" width="0" style="1059" hidden="1" customWidth="1"/>
    <col min="510" max="510" width="42" style="1059" customWidth="1"/>
    <col min="511" max="511" width="62.85546875" style="1059" customWidth="1"/>
    <col min="512" max="512" width="9.42578125" style="1059"/>
    <col min="513" max="513" width="0" style="1059" hidden="1" customWidth="1"/>
    <col min="514" max="514" width="42" style="1059" customWidth="1"/>
    <col min="515" max="515" width="62.85546875" style="1059" customWidth="1"/>
    <col min="516" max="516" width="13.28515625" style="1059" customWidth="1"/>
    <col min="517" max="517" width="11" style="1059" customWidth="1"/>
    <col min="518" max="518" width="10.5703125" style="1059" customWidth="1"/>
    <col min="519" max="519" width="10.7109375" style="1059" customWidth="1"/>
    <col min="520" max="520" width="10.5703125" style="1059" customWidth="1"/>
    <col min="521" max="521" width="12.85546875" style="1059" customWidth="1"/>
    <col min="522" max="522" width="9.85546875" style="1059" bestFit="1" customWidth="1"/>
    <col min="523" max="764" width="9.140625" style="1059" customWidth="1"/>
    <col min="765" max="765" width="0" style="1059" hidden="1" customWidth="1"/>
    <col min="766" max="766" width="42" style="1059" customWidth="1"/>
    <col min="767" max="767" width="62.85546875" style="1059" customWidth="1"/>
    <col min="768" max="768" width="9.42578125" style="1059"/>
    <col min="769" max="769" width="0" style="1059" hidden="1" customWidth="1"/>
    <col min="770" max="770" width="42" style="1059" customWidth="1"/>
    <col min="771" max="771" width="62.85546875" style="1059" customWidth="1"/>
    <col min="772" max="772" width="13.28515625" style="1059" customWidth="1"/>
    <col min="773" max="773" width="11" style="1059" customWidth="1"/>
    <col min="774" max="774" width="10.5703125" style="1059" customWidth="1"/>
    <col min="775" max="775" width="10.7109375" style="1059" customWidth="1"/>
    <col min="776" max="776" width="10.5703125" style="1059" customWidth="1"/>
    <col min="777" max="777" width="12.85546875" style="1059" customWidth="1"/>
    <col min="778" max="778" width="9.85546875" style="1059" bestFit="1" customWidth="1"/>
    <col min="779" max="1020" width="9.140625" style="1059" customWidth="1"/>
    <col min="1021" max="1021" width="0" style="1059" hidden="1" customWidth="1"/>
    <col min="1022" max="1022" width="42" style="1059" customWidth="1"/>
    <col min="1023" max="1023" width="62.85546875" style="1059" customWidth="1"/>
    <col min="1024" max="1024" width="9.42578125" style="1059"/>
    <col min="1025" max="1025" width="0" style="1059" hidden="1" customWidth="1"/>
    <col min="1026" max="1026" width="42" style="1059" customWidth="1"/>
    <col min="1027" max="1027" width="62.85546875" style="1059" customWidth="1"/>
    <col min="1028" max="1028" width="13.28515625" style="1059" customWidth="1"/>
    <col min="1029" max="1029" width="11" style="1059" customWidth="1"/>
    <col min="1030" max="1030" width="10.5703125" style="1059" customWidth="1"/>
    <col min="1031" max="1031" width="10.7109375" style="1059" customWidth="1"/>
    <col min="1032" max="1032" width="10.5703125" style="1059" customWidth="1"/>
    <col min="1033" max="1033" width="12.85546875" style="1059" customWidth="1"/>
    <col min="1034" max="1034" width="9.85546875" style="1059" bestFit="1" customWidth="1"/>
    <col min="1035" max="1276" width="9.140625" style="1059" customWidth="1"/>
    <col min="1277" max="1277" width="0" style="1059" hidden="1" customWidth="1"/>
    <col min="1278" max="1278" width="42" style="1059" customWidth="1"/>
    <col min="1279" max="1279" width="62.85546875" style="1059" customWidth="1"/>
    <col min="1280" max="1280" width="9.42578125" style="1059"/>
    <col min="1281" max="1281" width="0" style="1059" hidden="1" customWidth="1"/>
    <col min="1282" max="1282" width="42" style="1059" customWidth="1"/>
    <col min="1283" max="1283" width="62.85546875" style="1059" customWidth="1"/>
    <col min="1284" max="1284" width="13.28515625" style="1059" customWidth="1"/>
    <col min="1285" max="1285" width="11" style="1059" customWidth="1"/>
    <col min="1286" max="1286" width="10.5703125" style="1059" customWidth="1"/>
    <col min="1287" max="1287" width="10.7109375" style="1059" customWidth="1"/>
    <col min="1288" max="1288" width="10.5703125" style="1059" customWidth="1"/>
    <col min="1289" max="1289" width="12.85546875" style="1059" customWidth="1"/>
    <col min="1290" max="1290" width="9.85546875" style="1059" bestFit="1" customWidth="1"/>
    <col min="1291" max="1532" width="9.140625" style="1059" customWidth="1"/>
    <col min="1533" max="1533" width="0" style="1059" hidden="1" customWidth="1"/>
    <col min="1534" max="1534" width="42" style="1059" customWidth="1"/>
    <col min="1535" max="1535" width="62.85546875" style="1059" customWidth="1"/>
    <col min="1536" max="1536" width="9.42578125" style="1059"/>
    <col min="1537" max="1537" width="0" style="1059" hidden="1" customWidth="1"/>
    <col min="1538" max="1538" width="42" style="1059" customWidth="1"/>
    <col min="1539" max="1539" width="62.85546875" style="1059" customWidth="1"/>
    <col min="1540" max="1540" width="13.28515625" style="1059" customWidth="1"/>
    <col min="1541" max="1541" width="11" style="1059" customWidth="1"/>
    <col min="1542" max="1542" width="10.5703125" style="1059" customWidth="1"/>
    <col min="1543" max="1543" width="10.7109375" style="1059" customWidth="1"/>
    <col min="1544" max="1544" width="10.5703125" style="1059" customWidth="1"/>
    <col min="1545" max="1545" width="12.85546875" style="1059" customWidth="1"/>
    <col min="1546" max="1546" width="9.85546875" style="1059" bestFit="1" customWidth="1"/>
    <col min="1547" max="1788" width="9.140625" style="1059" customWidth="1"/>
    <col min="1789" max="1789" width="0" style="1059" hidden="1" customWidth="1"/>
    <col min="1790" max="1790" width="42" style="1059" customWidth="1"/>
    <col min="1791" max="1791" width="62.85546875" style="1059" customWidth="1"/>
    <col min="1792" max="1792" width="9.42578125" style="1059"/>
    <col min="1793" max="1793" width="0" style="1059" hidden="1" customWidth="1"/>
    <col min="1794" max="1794" width="42" style="1059" customWidth="1"/>
    <col min="1795" max="1795" width="62.85546875" style="1059" customWidth="1"/>
    <col min="1796" max="1796" width="13.28515625" style="1059" customWidth="1"/>
    <col min="1797" max="1797" width="11" style="1059" customWidth="1"/>
    <col min="1798" max="1798" width="10.5703125" style="1059" customWidth="1"/>
    <col min="1799" max="1799" width="10.7109375" style="1059" customWidth="1"/>
    <col min="1800" max="1800" width="10.5703125" style="1059" customWidth="1"/>
    <col min="1801" max="1801" width="12.85546875" style="1059" customWidth="1"/>
    <col min="1802" max="1802" width="9.85546875" style="1059" bestFit="1" customWidth="1"/>
    <col min="1803" max="2044" width="9.140625" style="1059" customWidth="1"/>
    <col min="2045" max="2045" width="0" style="1059" hidden="1" customWidth="1"/>
    <col min="2046" max="2046" width="42" style="1059" customWidth="1"/>
    <col min="2047" max="2047" width="62.85546875" style="1059" customWidth="1"/>
    <col min="2048" max="2048" width="9.42578125" style="1059"/>
    <col min="2049" max="2049" width="0" style="1059" hidden="1" customWidth="1"/>
    <col min="2050" max="2050" width="42" style="1059" customWidth="1"/>
    <col min="2051" max="2051" width="62.85546875" style="1059" customWidth="1"/>
    <col min="2052" max="2052" width="13.28515625" style="1059" customWidth="1"/>
    <col min="2053" max="2053" width="11" style="1059" customWidth="1"/>
    <col min="2054" max="2054" width="10.5703125" style="1059" customWidth="1"/>
    <col min="2055" max="2055" width="10.7109375" style="1059" customWidth="1"/>
    <col min="2056" max="2056" width="10.5703125" style="1059" customWidth="1"/>
    <col min="2057" max="2057" width="12.85546875" style="1059" customWidth="1"/>
    <col min="2058" max="2058" width="9.85546875" style="1059" bestFit="1" customWidth="1"/>
    <col min="2059" max="2300" width="9.140625" style="1059" customWidth="1"/>
    <col min="2301" max="2301" width="0" style="1059" hidden="1" customWidth="1"/>
    <col min="2302" max="2302" width="42" style="1059" customWidth="1"/>
    <col min="2303" max="2303" width="62.85546875" style="1059" customWidth="1"/>
    <col min="2304" max="2304" width="9.42578125" style="1059"/>
    <col min="2305" max="2305" width="0" style="1059" hidden="1" customWidth="1"/>
    <col min="2306" max="2306" width="42" style="1059" customWidth="1"/>
    <col min="2307" max="2307" width="62.85546875" style="1059" customWidth="1"/>
    <col min="2308" max="2308" width="13.28515625" style="1059" customWidth="1"/>
    <col min="2309" max="2309" width="11" style="1059" customWidth="1"/>
    <col min="2310" max="2310" width="10.5703125" style="1059" customWidth="1"/>
    <col min="2311" max="2311" width="10.7109375" style="1059" customWidth="1"/>
    <col min="2312" max="2312" width="10.5703125" style="1059" customWidth="1"/>
    <col min="2313" max="2313" width="12.85546875" style="1059" customWidth="1"/>
    <col min="2314" max="2314" width="9.85546875" style="1059" bestFit="1" customWidth="1"/>
    <col min="2315" max="2556" width="9.140625" style="1059" customWidth="1"/>
    <col min="2557" max="2557" width="0" style="1059" hidden="1" customWidth="1"/>
    <col min="2558" max="2558" width="42" style="1059" customWidth="1"/>
    <col min="2559" max="2559" width="62.85546875" style="1059" customWidth="1"/>
    <col min="2560" max="2560" width="9.42578125" style="1059"/>
    <col min="2561" max="2561" width="0" style="1059" hidden="1" customWidth="1"/>
    <col min="2562" max="2562" width="42" style="1059" customWidth="1"/>
    <col min="2563" max="2563" width="62.85546875" style="1059" customWidth="1"/>
    <col min="2564" max="2564" width="13.28515625" style="1059" customWidth="1"/>
    <col min="2565" max="2565" width="11" style="1059" customWidth="1"/>
    <col min="2566" max="2566" width="10.5703125" style="1059" customWidth="1"/>
    <col min="2567" max="2567" width="10.7109375" style="1059" customWidth="1"/>
    <col min="2568" max="2568" width="10.5703125" style="1059" customWidth="1"/>
    <col min="2569" max="2569" width="12.85546875" style="1059" customWidth="1"/>
    <col min="2570" max="2570" width="9.85546875" style="1059" bestFit="1" customWidth="1"/>
    <col min="2571" max="2812" width="9.140625" style="1059" customWidth="1"/>
    <col min="2813" max="2813" width="0" style="1059" hidden="1" customWidth="1"/>
    <col min="2814" max="2814" width="42" style="1059" customWidth="1"/>
    <col min="2815" max="2815" width="62.85546875" style="1059" customWidth="1"/>
    <col min="2816" max="2816" width="9.42578125" style="1059"/>
    <col min="2817" max="2817" width="0" style="1059" hidden="1" customWidth="1"/>
    <col min="2818" max="2818" width="42" style="1059" customWidth="1"/>
    <col min="2819" max="2819" width="62.85546875" style="1059" customWidth="1"/>
    <col min="2820" max="2820" width="13.28515625" style="1059" customWidth="1"/>
    <col min="2821" max="2821" width="11" style="1059" customWidth="1"/>
    <col min="2822" max="2822" width="10.5703125" style="1059" customWidth="1"/>
    <col min="2823" max="2823" width="10.7109375" style="1059" customWidth="1"/>
    <col min="2824" max="2824" width="10.5703125" style="1059" customWidth="1"/>
    <col min="2825" max="2825" width="12.85546875" style="1059" customWidth="1"/>
    <col min="2826" max="2826" width="9.85546875" style="1059" bestFit="1" customWidth="1"/>
    <col min="2827" max="3068" width="9.140625" style="1059" customWidth="1"/>
    <col min="3069" max="3069" width="0" style="1059" hidden="1" customWidth="1"/>
    <col min="3070" max="3070" width="42" style="1059" customWidth="1"/>
    <col min="3071" max="3071" width="62.85546875" style="1059" customWidth="1"/>
    <col min="3072" max="3072" width="9.42578125" style="1059"/>
    <col min="3073" max="3073" width="0" style="1059" hidden="1" customWidth="1"/>
    <col min="3074" max="3074" width="42" style="1059" customWidth="1"/>
    <col min="3075" max="3075" width="62.85546875" style="1059" customWidth="1"/>
    <col min="3076" max="3076" width="13.28515625" style="1059" customWidth="1"/>
    <col min="3077" max="3077" width="11" style="1059" customWidth="1"/>
    <col min="3078" max="3078" width="10.5703125" style="1059" customWidth="1"/>
    <col min="3079" max="3079" width="10.7109375" style="1059" customWidth="1"/>
    <col min="3080" max="3080" width="10.5703125" style="1059" customWidth="1"/>
    <col min="3081" max="3081" width="12.85546875" style="1059" customWidth="1"/>
    <col min="3082" max="3082" width="9.85546875" style="1059" bestFit="1" customWidth="1"/>
    <col min="3083" max="3324" width="9.140625" style="1059" customWidth="1"/>
    <col min="3325" max="3325" width="0" style="1059" hidden="1" customWidth="1"/>
    <col min="3326" max="3326" width="42" style="1059" customWidth="1"/>
    <col min="3327" max="3327" width="62.85546875" style="1059" customWidth="1"/>
    <col min="3328" max="3328" width="9.42578125" style="1059"/>
    <col min="3329" max="3329" width="0" style="1059" hidden="1" customWidth="1"/>
    <col min="3330" max="3330" width="42" style="1059" customWidth="1"/>
    <col min="3331" max="3331" width="62.85546875" style="1059" customWidth="1"/>
    <col min="3332" max="3332" width="13.28515625" style="1059" customWidth="1"/>
    <col min="3333" max="3333" width="11" style="1059" customWidth="1"/>
    <col min="3334" max="3334" width="10.5703125" style="1059" customWidth="1"/>
    <col min="3335" max="3335" width="10.7109375" style="1059" customWidth="1"/>
    <col min="3336" max="3336" width="10.5703125" style="1059" customWidth="1"/>
    <col min="3337" max="3337" width="12.85546875" style="1059" customWidth="1"/>
    <col min="3338" max="3338" width="9.85546875" style="1059" bestFit="1" customWidth="1"/>
    <col min="3339" max="3580" width="9.140625" style="1059" customWidth="1"/>
    <col min="3581" max="3581" width="0" style="1059" hidden="1" customWidth="1"/>
    <col min="3582" max="3582" width="42" style="1059" customWidth="1"/>
    <col min="3583" max="3583" width="62.85546875" style="1059" customWidth="1"/>
    <col min="3584" max="3584" width="9.42578125" style="1059"/>
    <col min="3585" max="3585" width="0" style="1059" hidden="1" customWidth="1"/>
    <col min="3586" max="3586" width="42" style="1059" customWidth="1"/>
    <col min="3587" max="3587" width="62.85546875" style="1059" customWidth="1"/>
    <col min="3588" max="3588" width="13.28515625" style="1059" customWidth="1"/>
    <col min="3589" max="3589" width="11" style="1059" customWidth="1"/>
    <col min="3590" max="3590" width="10.5703125" style="1059" customWidth="1"/>
    <col min="3591" max="3591" width="10.7109375" style="1059" customWidth="1"/>
    <col min="3592" max="3592" width="10.5703125" style="1059" customWidth="1"/>
    <col min="3593" max="3593" width="12.85546875" style="1059" customWidth="1"/>
    <col min="3594" max="3594" width="9.85546875" style="1059" bestFit="1" customWidth="1"/>
    <col min="3595" max="3836" width="9.140625" style="1059" customWidth="1"/>
    <col min="3837" max="3837" width="0" style="1059" hidden="1" customWidth="1"/>
    <col min="3838" max="3838" width="42" style="1059" customWidth="1"/>
    <col min="3839" max="3839" width="62.85546875" style="1059" customWidth="1"/>
    <col min="3840" max="3840" width="9.42578125" style="1059"/>
    <col min="3841" max="3841" width="0" style="1059" hidden="1" customWidth="1"/>
    <col min="3842" max="3842" width="42" style="1059" customWidth="1"/>
    <col min="3843" max="3843" width="62.85546875" style="1059" customWidth="1"/>
    <col min="3844" max="3844" width="13.28515625" style="1059" customWidth="1"/>
    <col min="3845" max="3845" width="11" style="1059" customWidth="1"/>
    <col min="3846" max="3846" width="10.5703125" style="1059" customWidth="1"/>
    <col min="3847" max="3847" width="10.7109375" style="1059" customWidth="1"/>
    <col min="3848" max="3848" width="10.5703125" style="1059" customWidth="1"/>
    <col min="3849" max="3849" width="12.85546875" style="1059" customWidth="1"/>
    <col min="3850" max="3850" width="9.85546875" style="1059" bestFit="1" customWidth="1"/>
    <col min="3851" max="4092" width="9.140625" style="1059" customWidth="1"/>
    <col min="4093" max="4093" width="0" style="1059" hidden="1" customWidth="1"/>
    <col min="4094" max="4094" width="42" style="1059" customWidth="1"/>
    <col min="4095" max="4095" width="62.85546875" style="1059" customWidth="1"/>
    <col min="4096" max="4096" width="9.42578125" style="1059"/>
    <col min="4097" max="4097" width="0" style="1059" hidden="1" customWidth="1"/>
    <col min="4098" max="4098" width="42" style="1059" customWidth="1"/>
    <col min="4099" max="4099" width="62.85546875" style="1059" customWidth="1"/>
    <col min="4100" max="4100" width="13.28515625" style="1059" customWidth="1"/>
    <col min="4101" max="4101" width="11" style="1059" customWidth="1"/>
    <col min="4102" max="4102" width="10.5703125" style="1059" customWidth="1"/>
    <col min="4103" max="4103" width="10.7109375" style="1059" customWidth="1"/>
    <col min="4104" max="4104" width="10.5703125" style="1059" customWidth="1"/>
    <col min="4105" max="4105" width="12.85546875" style="1059" customWidth="1"/>
    <col min="4106" max="4106" width="9.85546875" style="1059" bestFit="1" customWidth="1"/>
    <col min="4107" max="4348" width="9.140625" style="1059" customWidth="1"/>
    <col min="4349" max="4349" width="0" style="1059" hidden="1" customWidth="1"/>
    <col min="4350" max="4350" width="42" style="1059" customWidth="1"/>
    <col min="4351" max="4351" width="62.85546875" style="1059" customWidth="1"/>
    <col min="4352" max="4352" width="9.42578125" style="1059"/>
    <col min="4353" max="4353" width="0" style="1059" hidden="1" customWidth="1"/>
    <col min="4354" max="4354" width="42" style="1059" customWidth="1"/>
    <col min="4355" max="4355" width="62.85546875" style="1059" customWidth="1"/>
    <col min="4356" max="4356" width="13.28515625" style="1059" customWidth="1"/>
    <col min="4357" max="4357" width="11" style="1059" customWidth="1"/>
    <col min="4358" max="4358" width="10.5703125" style="1059" customWidth="1"/>
    <col min="4359" max="4359" width="10.7109375" style="1059" customWidth="1"/>
    <col min="4360" max="4360" width="10.5703125" style="1059" customWidth="1"/>
    <col min="4361" max="4361" width="12.85546875" style="1059" customWidth="1"/>
    <col min="4362" max="4362" width="9.85546875" style="1059" bestFit="1" customWidth="1"/>
    <col min="4363" max="4604" width="9.140625" style="1059" customWidth="1"/>
    <col min="4605" max="4605" width="0" style="1059" hidden="1" customWidth="1"/>
    <col min="4606" max="4606" width="42" style="1059" customWidth="1"/>
    <col min="4607" max="4607" width="62.85546875" style="1059" customWidth="1"/>
    <col min="4608" max="4608" width="9.42578125" style="1059"/>
    <col min="4609" max="4609" width="0" style="1059" hidden="1" customWidth="1"/>
    <col min="4610" max="4610" width="42" style="1059" customWidth="1"/>
    <col min="4611" max="4611" width="62.85546875" style="1059" customWidth="1"/>
    <col min="4612" max="4612" width="13.28515625" style="1059" customWidth="1"/>
    <col min="4613" max="4613" width="11" style="1059" customWidth="1"/>
    <col min="4614" max="4614" width="10.5703125" style="1059" customWidth="1"/>
    <col min="4615" max="4615" width="10.7109375" style="1059" customWidth="1"/>
    <col min="4616" max="4616" width="10.5703125" style="1059" customWidth="1"/>
    <col min="4617" max="4617" width="12.85546875" style="1059" customWidth="1"/>
    <col min="4618" max="4618" width="9.85546875" style="1059" bestFit="1" customWidth="1"/>
    <col min="4619" max="4860" width="9.140625" style="1059" customWidth="1"/>
    <col min="4861" max="4861" width="0" style="1059" hidden="1" customWidth="1"/>
    <col min="4862" max="4862" width="42" style="1059" customWidth="1"/>
    <col min="4863" max="4863" width="62.85546875" style="1059" customWidth="1"/>
    <col min="4864" max="4864" width="9.42578125" style="1059"/>
    <col min="4865" max="4865" width="0" style="1059" hidden="1" customWidth="1"/>
    <col min="4866" max="4866" width="42" style="1059" customWidth="1"/>
    <col min="4867" max="4867" width="62.85546875" style="1059" customWidth="1"/>
    <col min="4868" max="4868" width="13.28515625" style="1059" customWidth="1"/>
    <col min="4869" max="4869" width="11" style="1059" customWidth="1"/>
    <col min="4870" max="4870" width="10.5703125" style="1059" customWidth="1"/>
    <col min="4871" max="4871" width="10.7109375" style="1059" customWidth="1"/>
    <col min="4872" max="4872" width="10.5703125" style="1059" customWidth="1"/>
    <col min="4873" max="4873" width="12.85546875" style="1059" customWidth="1"/>
    <col min="4874" max="4874" width="9.85546875" style="1059" bestFit="1" customWidth="1"/>
    <col min="4875" max="5116" width="9.140625" style="1059" customWidth="1"/>
    <col min="5117" max="5117" width="0" style="1059" hidden="1" customWidth="1"/>
    <col min="5118" max="5118" width="42" style="1059" customWidth="1"/>
    <col min="5119" max="5119" width="62.85546875" style="1059" customWidth="1"/>
    <col min="5120" max="5120" width="9.42578125" style="1059"/>
    <col min="5121" max="5121" width="0" style="1059" hidden="1" customWidth="1"/>
    <col min="5122" max="5122" width="42" style="1059" customWidth="1"/>
    <col min="5123" max="5123" width="62.85546875" style="1059" customWidth="1"/>
    <col min="5124" max="5124" width="13.28515625" style="1059" customWidth="1"/>
    <col min="5125" max="5125" width="11" style="1059" customWidth="1"/>
    <col min="5126" max="5126" width="10.5703125" style="1059" customWidth="1"/>
    <col min="5127" max="5127" width="10.7109375" style="1059" customWidth="1"/>
    <col min="5128" max="5128" width="10.5703125" style="1059" customWidth="1"/>
    <col min="5129" max="5129" width="12.85546875" style="1059" customWidth="1"/>
    <col min="5130" max="5130" width="9.85546875" style="1059" bestFit="1" customWidth="1"/>
    <col min="5131" max="5372" width="9.140625" style="1059" customWidth="1"/>
    <col min="5373" max="5373" width="0" style="1059" hidden="1" customWidth="1"/>
    <col min="5374" max="5374" width="42" style="1059" customWidth="1"/>
    <col min="5375" max="5375" width="62.85546875" style="1059" customWidth="1"/>
    <col min="5376" max="5376" width="9.42578125" style="1059"/>
    <col min="5377" max="5377" width="0" style="1059" hidden="1" customWidth="1"/>
    <col min="5378" max="5378" width="42" style="1059" customWidth="1"/>
    <col min="5379" max="5379" width="62.85546875" style="1059" customWidth="1"/>
    <col min="5380" max="5380" width="13.28515625" style="1059" customWidth="1"/>
    <col min="5381" max="5381" width="11" style="1059" customWidth="1"/>
    <col min="5382" max="5382" width="10.5703125" style="1059" customWidth="1"/>
    <col min="5383" max="5383" width="10.7109375" style="1059" customWidth="1"/>
    <col min="5384" max="5384" width="10.5703125" style="1059" customWidth="1"/>
    <col min="5385" max="5385" width="12.85546875" style="1059" customWidth="1"/>
    <col min="5386" max="5386" width="9.85546875" style="1059" bestFit="1" customWidth="1"/>
    <col min="5387" max="5628" width="9.140625" style="1059" customWidth="1"/>
    <col min="5629" max="5629" width="0" style="1059" hidden="1" customWidth="1"/>
    <col min="5630" max="5630" width="42" style="1059" customWidth="1"/>
    <col min="5631" max="5631" width="62.85546875" style="1059" customWidth="1"/>
    <col min="5632" max="5632" width="9.42578125" style="1059"/>
    <col min="5633" max="5633" width="0" style="1059" hidden="1" customWidth="1"/>
    <col min="5634" max="5634" width="42" style="1059" customWidth="1"/>
    <col min="5635" max="5635" width="62.85546875" style="1059" customWidth="1"/>
    <col min="5636" max="5636" width="13.28515625" style="1059" customWidth="1"/>
    <col min="5637" max="5637" width="11" style="1059" customWidth="1"/>
    <col min="5638" max="5638" width="10.5703125" style="1059" customWidth="1"/>
    <col min="5639" max="5639" width="10.7109375" style="1059" customWidth="1"/>
    <col min="5640" max="5640" width="10.5703125" style="1059" customWidth="1"/>
    <col min="5641" max="5641" width="12.85546875" style="1059" customWidth="1"/>
    <col min="5642" max="5642" width="9.85546875" style="1059" bestFit="1" customWidth="1"/>
    <col min="5643" max="5884" width="9.140625" style="1059" customWidth="1"/>
    <col min="5885" max="5885" width="0" style="1059" hidden="1" customWidth="1"/>
    <col min="5886" max="5886" width="42" style="1059" customWidth="1"/>
    <col min="5887" max="5887" width="62.85546875" style="1059" customWidth="1"/>
    <col min="5888" max="5888" width="9.42578125" style="1059"/>
    <col min="5889" max="5889" width="0" style="1059" hidden="1" customWidth="1"/>
    <col min="5890" max="5890" width="42" style="1059" customWidth="1"/>
    <col min="5891" max="5891" width="62.85546875" style="1059" customWidth="1"/>
    <col min="5892" max="5892" width="13.28515625" style="1059" customWidth="1"/>
    <col min="5893" max="5893" width="11" style="1059" customWidth="1"/>
    <col min="5894" max="5894" width="10.5703125" style="1059" customWidth="1"/>
    <col min="5895" max="5895" width="10.7109375" style="1059" customWidth="1"/>
    <col min="5896" max="5896" width="10.5703125" style="1059" customWidth="1"/>
    <col min="5897" max="5897" width="12.85546875" style="1059" customWidth="1"/>
    <col min="5898" max="5898" width="9.85546875" style="1059" bestFit="1" customWidth="1"/>
    <col min="5899" max="6140" width="9.140625" style="1059" customWidth="1"/>
    <col min="6141" max="6141" width="0" style="1059" hidden="1" customWidth="1"/>
    <col min="6142" max="6142" width="42" style="1059" customWidth="1"/>
    <col min="6143" max="6143" width="62.85546875" style="1059" customWidth="1"/>
    <col min="6144" max="6144" width="9.42578125" style="1059"/>
    <col min="6145" max="6145" width="0" style="1059" hidden="1" customWidth="1"/>
    <col min="6146" max="6146" width="42" style="1059" customWidth="1"/>
    <col min="6147" max="6147" width="62.85546875" style="1059" customWidth="1"/>
    <col min="6148" max="6148" width="13.28515625" style="1059" customWidth="1"/>
    <col min="6149" max="6149" width="11" style="1059" customWidth="1"/>
    <col min="6150" max="6150" width="10.5703125" style="1059" customWidth="1"/>
    <col min="6151" max="6151" width="10.7109375" style="1059" customWidth="1"/>
    <col min="6152" max="6152" width="10.5703125" style="1059" customWidth="1"/>
    <col min="6153" max="6153" width="12.85546875" style="1059" customWidth="1"/>
    <col min="6154" max="6154" width="9.85546875" style="1059" bestFit="1" customWidth="1"/>
    <col min="6155" max="6396" width="9.140625" style="1059" customWidth="1"/>
    <col min="6397" max="6397" width="0" style="1059" hidden="1" customWidth="1"/>
    <col min="6398" max="6398" width="42" style="1059" customWidth="1"/>
    <col min="6399" max="6399" width="62.85546875" style="1059" customWidth="1"/>
    <col min="6400" max="6400" width="9.42578125" style="1059"/>
    <col min="6401" max="6401" width="0" style="1059" hidden="1" customWidth="1"/>
    <col min="6402" max="6402" width="42" style="1059" customWidth="1"/>
    <col min="6403" max="6403" width="62.85546875" style="1059" customWidth="1"/>
    <col min="6404" max="6404" width="13.28515625" style="1059" customWidth="1"/>
    <col min="6405" max="6405" width="11" style="1059" customWidth="1"/>
    <col min="6406" max="6406" width="10.5703125" style="1059" customWidth="1"/>
    <col min="6407" max="6407" width="10.7109375" style="1059" customWidth="1"/>
    <col min="6408" max="6408" width="10.5703125" style="1059" customWidth="1"/>
    <col min="6409" max="6409" width="12.85546875" style="1059" customWidth="1"/>
    <col min="6410" max="6410" width="9.85546875" style="1059" bestFit="1" customWidth="1"/>
    <col min="6411" max="6652" width="9.140625" style="1059" customWidth="1"/>
    <col min="6653" max="6653" width="0" style="1059" hidden="1" customWidth="1"/>
    <col min="6654" max="6654" width="42" style="1059" customWidth="1"/>
    <col min="6655" max="6655" width="62.85546875" style="1059" customWidth="1"/>
    <col min="6656" max="6656" width="9.42578125" style="1059"/>
    <col min="6657" max="6657" width="0" style="1059" hidden="1" customWidth="1"/>
    <col min="6658" max="6658" width="42" style="1059" customWidth="1"/>
    <col min="6659" max="6659" width="62.85546875" style="1059" customWidth="1"/>
    <col min="6660" max="6660" width="13.28515625" style="1059" customWidth="1"/>
    <col min="6661" max="6661" width="11" style="1059" customWidth="1"/>
    <col min="6662" max="6662" width="10.5703125" style="1059" customWidth="1"/>
    <col min="6663" max="6663" width="10.7109375" style="1059" customWidth="1"/>
    <col min="6664" max="6664" width="10.5703125" style="1059" customWidth="1"/>
    <col min="6665" max="6665" width="12.85546875" style="1059" customWidth="1"/>
    <col min="6666" max="6666" width="9.85546875" style="1059" bestFit="1" customWidth="1"/>
    <col min="6667" max="6908" width="9.140625" style="1059" customWidth="1"/>
    <col min="6909" max="6909" width="0" style="1059" hidden="1" customWidth="1"/>
    <col min="6910" max="6910" width="42" style="1059" customWidth="1"/>
    <col min="6911" max="6911" width="62.85546875" style="1059" customWidth="1"/>
    <col min="6912" max="6912" width="9.42578125" style="1059"/>
    <col min="6913" max="6913" width="0" style="1059" hidden="1" customWidth="1"/>
    <col min="6914" max="6914" width="42" style="1059" customWidth="1"/>
    <col min="6915" max="6915" width="62.85546875" style="1059" customWidth="1"/>
    <col min="6916" max="6916" width="13.28515625" style="1059" customWidth="1"/>
    <col min="6917" max="6917" width="11" style="1059" customWidth="1"/>
    <col min="6918" max="6918" width="10.5703125" style="1059" customWidth="1"/>
    <col min="6919" max="6919" width="10.7109375" style="1059" customWidth="1"/>
    <col min="6920" max="6920" width="10.5703125" style="1059" customWidth="1"/>
    <col min="6921" max="6921" width="12.85546875" style="1059" customWidth="1"/>
    <col min="6922" max="6922" width="9.85546875" style="1059" bestFit="1" customWidth="1"/>
    <col min="6923" max="7164" width="9.140625" style="1059" customWidth="1"/>
    <col min="7165" max="7165" width="0" style="1059" hidden="1" customWidth="1"/>
    <col min="7166" max="7166" width="42" style="1059" customWidth="1"/>
    <col min="7167" max="7167" width="62.85546875" style="1059" customWidth="1"/>
    <col min="7168" max="7168" width="9.42578125" style="1059"/>
    <col min="7169" max="7169" width="0" style="1059" hidden="1" customWidth="1"/>
    <col min="7170" max="7170" width="42" style="1059" customWidth="1"/>
    <col min="7171" max="7171" width="62.85546875" style="1059" customWidth="1"/>
    <col min="7172" max="7172" width="13.28515625" style="1059" customWidth="1"/>
    <col min="7173" max="7173" width="11" style="1059" customWidth="1"/>
    <col min="7174" max="7174" width="10.5703125" style="1059" customWidth="1"/>
    <col min="7175" max="7175" width="10.7109375" style="1059" customWidth="1"/>
    <col min="7176" max="7176" width="10.5703125" style="1059" customWidth="1"/>
    <col min="7177" max="7177" width="12.85546875" style="1059" customWidth="1"/>
    <col min="7178" max="7178" width="9.85546875" style="1059" bestFit="1" customWidth="1"/>
    <col min="7179" max="7420" width="9.140625" style="1059" customWidth="1"/>
    <col min="7421" max="7421" width="0" style="1059" hidden="1" customWidth="1"/>
    <col min="7422" max="7422" width="42" style="1059" customWidth="1"/>
    <col min="7423" max="7423" width="62.85546875" style="1059" customWidth="1"/>
    <col min="7424" max="7424" width="9.42578125" style="1059"/>
    <col min="7425" max="7425" width="0" style="1059" hidden="1" customWidth="1"/>
    <col min="7426" max="7426" width="42" style="1059" customWidth="1"/>
    <col min="7427" max="7427" width="62.85546875" style="1059" customWidth="1"/>
    <col min="7428" max="7428" width="13.28515625" style="1059" customWidth="1"/>
    <col min="7429" max="7429" width="11" style="1059" customWidth="1"/>
    <col min="7430" max="7430" width="10.5703125" style="1059" customWidth="1"/>
    <col min="7431" max="7431" width="10.7109375" style="1059" customWidth="1"/>
    <col min="7432" max="7432" width="10.5703125" style="1059" customWidth="1"/>
    <col min="7433" max="7433" width="12.85546875" style="1059" customWidth="1"/>
    <col min="7434" max="7434" width="9.85546875" style="1059" bestFit="1" customWidth="1"/>
    <col min="7435" max="7676" width="9.140625" style="1059" customWidth="1"/>
    <col min="7677" max="7677" width="0" style="1059" hidden="1" customWidth="1"/>
    <col min="7678" max="7678" width="42" style="1059" customWidth="1"/>
    <col min="7679" max="7679" width="62.85546875" style="1059" customWidth="1"/>
    <col min="7680" max="7680" width="9.42578125" style="1059"/>
    <col min="7681" max="7681" width="0" style="1059" hidden="1" customWidth="1"/>
    <col min="7682" max="7682" width="42" style="1059" customWidth="1"/>
    <col min="7683" max="7683" width="62.85546875" style="1059" customWidth="1"/>
    <col min="7684" max="7684" width="13.28515625" style="1059" customWidth="1"/>
    <col min="7685" max="7685" width="11" style="1059" customWidth="1"/>
    <col min="7686" max="7686" width="10.5703125" style="1059" customWidth="1"/>
    <col min="7687" max="7687" width="10.7109375" style="1059" customWidth="1"/>
    <col min="7688" max="7688" width="10.5703125" style="1059" customWidth="1"/>
    <col min="7689" max="7689" width="12.85546875" style="1059" customWidth="1"/>
    <col min="7690" max="7690" width="9.85546875" style="1059" bestFit="1" customWidth="1"/>
    <col min="7691" max="7932" width="9.140625" style="1059" customWidth="1"/>
    <col min="7933" max="7933" width="0" style="1059" hidden="1" customWidth="1"/>
    <col min="7934" max="7934" width="42" style="1059" customWidth="1"/>
    <col min="7935" max="7935" width="62.85546875" style="1059" customWidth="1"/>
    <col min="7936" max="7936" width="9.42578125" style="1059"/>
    <col min="7937" max="7937" width="0" style="1059" hidden="1" customWidth="1"/>
    <col min="7938" max="7938" width="42" style="1059" customWidth="1"/>
    <col min="7939" max="7939" width="62.85546875" style="1059" customWidth="1"/>
    <col min="7940" max="7940" width="13.28515625" style="1059" customWidth="1"/>
    <col min="7941" max="7941" width="11" style="1059" customWidth="1"/>
    <col min="7942" max="7942" width="10.5703125" style="1059" customWidth="1"/>
    <col min="7943" max="7943" width="10.7109375" style="1059" customWidth="1"/>
    <col min="7944" max="7944" width="10.5703125" style="1059" customWidth="1"/>
    <col min="7945" max="7945" width="12.85546875" style="1059" customWidth="1"/>
    <col min="7946" max="7946" width="9.85546875" style="1059" bestFit="1" customWidth="1"/>
    <col min="7947" max="8188" width="9.140625" style="1059" customWidth="1"/>
    <col min="8189" max="8189" width="0" style="1059" hidden="1" customWidth="1"/>
    <col min="8190" max="8190" width="42" style="1059" customWidth="1"/>
    <col min="8191" max="8191" width="62.85546875" style="1059" customWidth="1"/>
    <col min="8192" max="8192" width="9.42578125" style="1059"/>
    <col min="8193" max="8193" width="0" style="1059" hidden="1" customWidth="1"/>
    <col min="8194" max="8194" width="42" style="1059" customWidth="1"/>
    <col min="8195" max="8195" width="62.85546875" style="1059" customWidth="1"/>
    <col min="8196" max="8196" width="13.28515625" style="1059" customWidth="1"/>
    <col min="8197" max="8197" width="11" style="1059" customWidth="1"/>
    <col min="8198" max="8198" width="10.5703125" style="1059" customWidth="1"/>
    <col min="8199" max="8199" width="10.7109375" style="1059" customWidth="1"/>
    <col min="8200" max="8200" width="10.5703125" style="1059" customWidth="1"/>
    <col min="8201" max="8201" width="12.85546875" style="1059" customWidth="1"/>
    <col min="8202" max="8202" width="9.85546875" style="1059" bestFit="1" customWidth="1"/>
    <col min="8203" max="8444" width="9.140625" style="1059" customWidth="1"/>
    <col min="8445" max="8445" width="0" style="1059" hidden="1" customWidth="1"/>
    <col min="8446" max="8446" width="42" style="1059" customWidth="1"/>
    <col min="8447" max="8447" width="62.85546875" style="1059" customWidth="1"/>
    <col min="8448" max="8448" width="9.42578125" style="1059"/>
    <col min="8449" max="8449" width="0" style="1059" hidden="1" customWidth="1"/>
    <col min="8450" max="8450" width="42" style="1059" customWidth="1"/>
    <col min="8451" max="8451" width="62.85546875" style="1059" customWidth="1"/>
    <col min="8452" max="8452" width="13.28515625" style="1059" customWidth="1"/>
    <col min="8453" max="8453" width="11" style="1059" customWidth="1"/>
    <col min="8454" max="8454" width="10.5703125" style="1059" customWidth="1"/>
    <col min="8455" max="8455" width="10.7109375" style="1059" customWidth="1"/>
    <col min="8456" max="8456" width="10.5703125" style="1059" customWidth="1"/>
    <col min="8457" max="8457" width="12.85546875" style="1059" customWidth="1"/>
    <col min="8458" max="8458" width="9.85546875" style="1059" bestFit="1" customWidth="1"/>
    <col min="8459" max="8700" width="9.140625" style="1059" customWidth="1"/>
    <col min="8701" max="8701" width="0" style="1059" hidden="1" customWidth="1"/>
    <col min="8702" max="8702" width="42" style="1059" customWidth="1"/>
    <col min="8703" max="8703" width="62.85546875" style="1059" customWidth="1"/>
    <col min="8704" max="8704" width="9.42578125" style="1059"/>
    <col min="8705" max="8705" width="0" style="1059" hidden="1" customWidth="1"/>
    <col min="8706" max="8706" width="42" style="1059" customWidth="1"/>
    <col min="8707" max="8707" width="62.85546875" style="1059" customWidth="1"/>
    <col min="8708" max="8708" width="13.28515625" style="1059" customWidth="1"/>
    <col min="8709" max="8709" width="11" style="1059" customWidth="1"/>
    <col min="8710" max="8710" width="10.5703125" style="1059" customWidth="1"/>
    <col min="8711" max="8711" width="10.7109375" style="1059" customWidth="1"/>
    <col min="8712" max="8712" width="10.5703125" style="1059" customWidth="1"/>
    <col min="8713" max="8713" width="12.85546875" style="1059" customWidth="1"/>
    <col min="8714" max="8714" width="9.85546875" style="1059" bestFit="1" customWidth="1"/>
    <col min="8715" max="8956" width="9.140625" style="1059" customWidth="1"/>
    <col min="8957" max="8957" width="0" style="1059" hidden="1" customWidth="1"/>
    <col min="8958" max="8958" width="42" style="1059" customWidth="1"/>
    <col min="8959" max="8959" width="62.85546875" style="1059" customWidth="1"/>
    <col min="8960" max="8960" width="9.42578125" style="1059"/>
    <col min="8961" max="8961" width="0" style="1059" hidden="1" customWidth="1"/>
    <col min="8962" max="8962" width="42" style="1059" customWidth="1"/>
    <col min="8963" max="8963" width="62.85546875" style="1059" customWidth="1"/>
    <col min="8964" max="8964" width="13.28515625" style="1059" customWidth="1"/>
    <col min="8965" max="8965" width="11" style="1059" customWidth="1"/>
    <col min="8966" max="8966" width="10.5703125" style="1059" customWidth="1"/>
    <col min="8967" max="8967" width="10.7109375" style="1059" customWidth="1"/>
    <col min="8968" max="8968" width="10.5703125" style="1059" customWidth="1"/>
    <col min="8969" max="8969" width="12.85546875" style="1059" customWidth="1"/>
    <col min="8970" max="8970" width="9.85546875" style="1059" bestFit="1" customWidth="1"/>
    <col min="8971" max="9212" width="9.140625" style="1059" customWidth="1"/>
    <col min="9213" max="9213" width="0" style="1059" hidden="1" customWidth="1"/>
    <col min="9214" max="9214" width="42" style="1059" customWidth="1"/>
    <col min="9215" max="9215" width="62.85546875" style="1059" customWidth="1"/>
    <col min="9216" max="9216" width="9.42578125" style="1059"/>
    <col min="9217" max="9217" width="0" style="1059" hidden="1" customWidth="1"/>
    <col min="9218" max="9218" width="42" style="1059" customWidth="1"/>
    <col min="9219" max="9219" width="62.85546875" style="1059" customWidth="1"/>
    <col min="9220" max="9220" width="13.28515625" style="1059" customWidth="1"/>
    <col min="9221" max="9221" width="11" style="1059" customWidth="1"/>
    <col min="9222" max="9222" width="10.5703125" style="1059" customWidth="1"/>
    <col min="9223" max="9223" width="10.7109375" style="1059" customWidth="1"/>
    <col min="9224" max="9224" width="10.5703125" style="1059" customWidth="1"/>
    <col min="9225" max="9225" width="12.85546875" style="1059" customWidth="1"/>
    <col min="9226" max="9226" width="9.85546875" style="1059" bestFit="1" customWidth="1"/>
    <col min="9227" max="9468" width="9.140625" style="1059" customWidth="1"/>
    <col min="9469" max="9469" width="0" style="1059" hidden="1" customWidth="1"/>
    <col min="9470" max="9470" width="42" style="1059" customWidth="1"/>
    <col min="9471" max="9471" width="62.85546875" style="1059" customWidth="1"/>
    <col min="9472" max="9472" width="9.42578125" style="1059"/>
    <col min="9473" max="9473" width="0" style="1059" hidden="1" customWidth="1"/>
    <col min="9474" max="9474" width="42" style="1059" customWidth="1"/>
    <col min="9475" max="9475" width="62.85546875" style="1059" customWidth="1"/>
    <col min="9476" max="9476" width="13.28515625" style="1059" customWidth="1"/>
    <col min="9477" max="9477" width="11" style="1059" customWidth="1"/>
    <col min="9478" max="9478" width="10.5703125" style="1059" customWidth="1"/>
    <col min="9479" max="9479" width="10.7109375" style="1059" customWidth="1"/>
    <col min="9480" max="9480" width="10.5703125" style="1059" customWidth="1"/>
    <col min="9481" max="9481" width="12.85546875" style="1059" customWidth="1"/>
    <col min="9482" max="9482" width="9.85546875" style="1059" bestFit="1" customWidth="1"/>
    <col min="9483" max="9724" width="9.140625" style="1059" customWidth="1"/>
    <col min="9725" max="9725" width="0" style="1059" hidden="1" customWidth="1"/>
    <col min="9726" max="9726" width="42" style="1059" customWidth="1"/>
    <col min="9727" max="9727" width="62.85546875" style="1059" customWidth="1"/>
    <col min="9728" max="9728" width="9.42578125" style="1059"/>
    <col min="9729" max="9729" width="0" style="1059" hidden="1" customWidth="1"/>
    <col min="9730" max="9730" width="42" style="1059" customWidth="1"/>
    <col min="9731" max="9731" width="62.85546875" style="1059" customWidth="1"/>
    <col min="9732" max="9732" width="13.28515625" style="1059" customWidth="1"/>
    <col min="9733" max="9733" width="11" style="1059" customWidth="1"/>
    <col min="9734" max="9734" width="10.5703125" style="1059" customWidth="1"/>
    <col min="9735" max="9735" width="10.7109375" style="1059" customWidth="1"/>
    <col min="9736" max="9736" width="10.5703125" style="1059" customWidth="1"/>
    <col min="9737" max="9737" width="12.85546875" style="1059" customWidth="1"/>
    <col min="9738" max="9738" width="9.85546875" style="1059" bestFit="1" customWidth="1"/>
    <col min="9739" max="9980" width="9.140625" style="1059" customWidth="1"/>
    <col min="9981" max="9981" width="0" style="1059" hidden="1" customWidth="1"/>
    <col min="9982" max="9982" width="42" style="1059" customWidth="1"/>
    <col min="9983" max="9983" width="62.85546875" style="1059" customWidth="1"/>
    <col min="9984" max="9984" width="9.42578125" style="1059"/>
    <col min="9985" max="9985" width="0" style="1059" hidden="1" customWidth="1"/>
    <col min="9986" max="9986" width="42" style="1059" customWidth="1"/>
    <col min="9987" max="9987" width="62.85546875" style="1059" customWidth="1"/>
    <col min="9988" max="9988" width="13.28515625" style="1059" customWidth="1"/>
    <col min="9989" max="9989" width="11" style="1059" customWidth="1"/>
    <col min="9990" max="9990" width="10.5703125" style="1059" customWidth="1"/>
    <col min="9991" max="9991" width="10.7109375" style="1059" customWidth="1"/>
    <col min="9992" max="9992" width="10.5703125" style="1059" customWidth="1"/>
    <col min="9993" max="9993" width="12.85546875" style="1059" customWidth="1"/>
    <col min="9994" max="9994" width="9.85546875" style="1059" bestFit="1" customWidth="1"/>
    <col min="9995" max="10236" width="9.140625" style="1059" customWidth="1"/>
    <col min="10237" max="10237" width="0" style="1059" hidden="1" customWidth="1"/>
    <col min="10238" max="10238" width="42" style="1059" customWidth="1"/>
    <col min="10239" max="10239" width="62.85546875" style="1059" customWidth="1"/>
    <col min="10240" max="10240" width="9.42578125" style="1059"/>
    <col min="10241" max="10241" width="0" style="1059" hidden="1" customWidth="1"/>
    <col min="10242" max="10242" width="42" style="1059" customWidth="1"/>
    <col min="10243" max="10243" width="62.85546875" style="1059" customWidth="1"/>
    <col min="10244" max="10244" width="13.28515625" style="1059" customWidth="1"/>
    <col min="10245" max="10245" width="11" style="1059" customWidth="1"/>
    <col min="10246" max="10246" width="10.5703125" style="1059" customWidth="1"/>
    <col min="10247" max="10247" width="10.7109375" style="1059" customWidth="1"/>
    <col min="10248" max="10248" width="10.5703125" style="1059" customWidth="1"/>
    <col min="10249" max="10249" width="12.85546875" style="1059" customWidth="1"/>
    <col min="10250" max="10250" width="9.85546875" style="1059" bestFit="1" customWidth="1"/>
    <col min="10251" max="10492" width="9.140625" style="1059" customWidth="1"/>
    <col min="10493" max="10493" width="0" style="1059" hidden="1" customWidth="1"/>
    <col min="10494" max="10494" width="42" style="1059" customWidth="1"/>
    <col min="10495" max="10495" width="62.85546875" style="1059" customWidth="1"/>
    <col min="10496" max="10496" width="9.42578125" style="1059"/>
    <col min="10497" max="10497" width="0" style="1059" hidden="1" customWidth="1"/>
    <col min="10498" max="10498" width="42" style="1059" customWidth="1"/>
    <col min="10499" max="10499" width="62.85546875" style="1059" customWidth="1"/>
    <col min="10500" max="10500" width="13.28515625" style="1059" customWidth="1"/>
    <col min="10501" max="10501" width="11" style="1059" customWidth="1"/>
    <col min="10502" max="10502" width="10.5703125" style="1059" customWidth="1"/>
    <col min="10503" max="10503" width="10.7109375" style="1059" customWidth="1"/>
    <col min="10504" max="10504" width="10.5703125" style="1059" customWidth="1"/>
    <col min="10505" max="10505" width="12.85546875" style="1059" customWidth="1"/>
    <col min="10506" max="10506" width="9.85546875" style="1059" bestFit="1" customWidth="1"/>
    <col min="10507" max="10748" width="9.140625" style="1059" customWidth="1"/>
    <col min="10749" max="10749" width="0" style="1059" hidden="1" customWidth="1"/>
    <col min="10750" max="10750" width="42" style="1059" customWidth="1"/>
    <col min="10751" max="10751" width="62.85546875" style="1059" customWidth="1"/>
    <col min="10752" max="10752" width="9.42578125" style="1059"/>
    <col min="10753" max="10753" width="0" style="1059" hidden="1" customWidth="1"/>
    <col min="10754" max="10754" width="42" style="1059" customWidth="1"/>
    <col min="10755" max="10755" width="62.85546875" style="1059" customWidth="1"/>
    <col min="10756" max="10756" width="13.28515625" style="1059" customWidth="1"/>
    <col min="10757" max="10757" width="11" style="1059" customWidth="1"/>
    <col min="10758" max="10758" width="10.5703125" style="1059" customWidth="1"/>
    <col min="10759" max="10759" width="10.7109375" style="1059" customWidth="1"/>
    <col min="10760" max="10760" width="10.5703125" style="1059" customWidth="1"/>
    <col min="10761" max="10761" width="12.85546875" style="1059" customWidth="1"/>
    <col min="10762" max="10762" width="9.85546875" style="1059" bestFit="1" customWidth="1"/>
    <col min="10763" max="11004" width="9.140625" style="1059" customWidth="1"/>
    <col min="11005" max="11005" width="0" style="1059" hidden="1" customWidth="1"/>
    <col min="11006" max="11006" width="42" style="1059" customWidth="1"/>
    <col min="11007" max="11007" width="62.85546875" style="1059" customWidth="1"/>
    <col min="11008" max="11008" width="9.42578125" style="1059"/>
    <col min="11009" max="11009" width="0" style="1059" hidden="1" customWidth="1"/>
    <col min="11010" max="11010" width="42" style="1059" customWidth="1"/>
    <col min="11011" max="11011" width="62.85546875" style="1059" customWidth="1"/>
    <col min="11012" max="11012" width="13.28515625" style="1059" customWidth="1"/>
    <col min="11013" max="11013" width="11" style="1059" customWidth="1"/>
    <col min="11014" max="11014" width="10.5703125" style="1059" customWidth="1"/>
    <col min="11015" max="11015" width="10.7109375" style="1059" customWidth="1"/>
    <col min="11016" max="11016" width="10.5703125" style="1059" customWidth="1"/>
    <col min="11017" max="11017" width="12.85546875" style="1059" customWidth="1"/>
    <col min="11018" max="11018" width="9.85546875" style="1059" bestFit="1" customWidth="1"/>
    <col min="11019" max="11260" width="9.140625" style="1059" customWidth="1"/>
    <col min="11261" max="11261" width="0" style="1059" hidden="1" customWidth="1"/>
    <col min="11262" max="11262" width="42" style="1059" customWidth="1"/>
    <col min="11263" max="11263" width="62.85546875" style="1059" customWidth="1"/>
    <col min="11264" max="11264" width="9.42578125" style="1059"/>
    <col min="11265" max="11265" width="0" style="1059" hidden="1" customWidth="1"/>
    <col min="11266" max="11266" width="42" style="1059" customWidth="1"/>
    <col min="11267" max="11267" width="62.85546875" style="1059" customWidth="1"/>
    <col min="11268" max="11268" width="13.28515625" style="1059" customWidth="1"/>
    <col min="11269" max="11269" width="11" style="1059" customWidth="1"/>
    <col min="11270" max="11270" width="10.5703125" style="1059" customWidth="1"/>
    <col min="11271" max="11271" width="10.7109375" style="1059" customWidth="1"/>
    <col min="11272" max="11272" width="10.5703125" style="1059" customWidth="1"/>
    <col min="11273" max="11273" width="12.85546875" style="1059" customWidth="1"/>
    <col min="11274" max="11274" width="9.85546875" style="1059" bestFit="1" customWidth="1"/>
    <col min="11275" max="11516" width="9.140625" style="1059" customWidth="1"/>
    <col min="11517" max="11517" width="0" style="1059" hidden="1" customWidth="1"/>
    <col min="11518" max="11518" width="42" style="1059" customWidth="1"/>
    <col min="11519" max="11519" width="62.85546875" style="1059" customWidth="1"/>
    <col min="11520" max="11520" width="9.42578125" style="1059"/>
    <col min="11521" max="11521" width="0" style="1059" hidden="1" customWidth="1"/>
    <col min="11522" max="11522" width="42" style="1059" customWidth="1"/>
    <col min="11523" max="11523" width="62.85546875" style="1059" customWidth="1"/>
    <col min="11524" max="11524" width="13.28515625" style="1059" customWidth="1"/>
    <col min="11525" max="11525" width="11" style="1059" customWidth="1"/>
    <col min="11526" max="11526" width="10.5703125" style="1059" customWidth="1"/>
    <col min="11527" max="11527" width="10.7109375" style="1059" customWidth="1"/>
    <col min="11528" max="11528" width="10.5703125" style="1059" customWidth="1"/>
    <col min="11529" max="11529" width="12.85546875" style="1059" customWidth="1"/>
    <col min="11530" max="11530" width="9.85546875" style="1059" bestFit="1" customWidth="1"/>
    <col min="11531" max="11772" width="9.140625" style="1059" customWidth="1"/>
    <col min="11773" max="11773" width="0" style="1059" hidden="1" customWidth="1"/>
    <col min="11774" max="11774" width="42" style="1059" customWidth="1"/>
    <col min="11775" max="11775" width="62.85546875" style="1059" customWidth="1"/>
    <col min="11776" max="11776" width="9.42578125" style="1059"/>
    <col min="11777" max="11777" width="0" style="1059" hidden="1" customWidth="1"/>
    <col min="11778" max="11778" width="42" style="1059" customWidth="1"/>
    <col min="11779" max="11779" width="62.85546875" style="1059" customWidth="1"/>
    <col min="11780" max="11780" width="13.28515625" style="1059" customWidth="1"/>
    <col min="11781" max="11781" width="11" style="1059" customWidth="1"/>
    <col min="11782" max="11782" width="10.5703125" style="1059" customWidth="1"/>
    <col min="11783" max="11783" width="10.7109375" style="1059" customWidth="1"/>
    <col min="11784" max="11784" width="10.5703125" style="1059" customWidth="1"/>
    <col min="11785" max="11785" width="12.85546875" style="1059" customWidth="1"/>
    <col min="11786" max="11786" width="9.85546875" style="1059" bestFit="1" customWidth="1"/>
    <col min="11787" max="12028" width="9.140625" style="1059" customWidth="1"/>
    <col min="12029" max="12029" width="0" style="1059" hidden="1" customWidth="1"/>
    <col min="12030" max="12030" width="42" style="1059" customWidth="1"/>
    <col min="12031" max="12031" width="62.85546875" style="1059" customWidth="1"/>
    <col min="12032" max="12032" width="9.42578125" style="1059"/>
    <col min="12033" max="12033" width="0" style="1059" hidden="1" customWidth="1"/>
    <col min="12034" max="12034" width="42" style="1059" customWidth="1"/>
    <col min="12035" max="12035" width="62.85546875" style="1059" customWidth="1"/>
    <col min="12036" max="12036" width="13.28515625" style="1059" customWidth="1"/>
    <col min="12037" max="12037" width="11" style="1059" customWidth="1"/>
    <col min="12038" max="12038" width="10.5703125" style="1059" customWidth="1"/>
    <col min="12039" max="12039" width="10.7109375" style="1059" customWidth="1"/>
    <col min="12040" max="12040" width="10.5703125" style="1059" customWidth="1"/>
    <col min="12041" max="12041" width="12.85546875" style="1059" customWidth="1"/>
    <col min="12042" max="12042" width="9.85546875" style="1059" bestFit="1" customWidth="1"/>
    <col min="12043" max="12284" width="9.140625" style="1059" customWidth="1"/>
    <col min="12285" max="12285" width="0" style="1059" hidden="1" customWidth="1"/>
    <col min="12286" max="12286" width="42" style="1059" customWidth="1"/>
    <col min="12287" max="12287" width="62.85546875" style="1059" customWidth="1"/>
    <col min="12288" max="12288" width="9.42578125" style="1059"/>
    <col min="12289" max="12289" width="0" style="1059" hidden="1" customWidth="1"/>
    <col min="12290" max="12290" width="42" style="1059" customWidth="1"/>
    <col min="12291" max="12291" width="62.85546875" style="1059" customWidth="1"/>
    <col min="12292" max="12292" width="13.28515625" style="1059" customWidth="1"/>
    <col min="12293" max="12293" width="11" style="1059" customWidth="1"/>
    <col min="12294" max="12294" width="10.5703125" style="1059" customWidth="1"/>
    <col min="12295" max="12295" width="10.7109375" style="1059" customWidth="1"/>
    <col min="12296" max="12296" width="10.5703125" style="1059" customWidth="1"/>
    <col min="12297" max="12297" width="12.85546875" style="1059" customWidth="1"/>
    <col min="12298" max="12298" width="9.85546875" style="1059" bestFit="1" customWidth="1"/>
    <col min="12299" max="12540" width="9.140625" style="1059" customWidth="1"/>
    <col min="12541" max="12541" width="0" style="1059" hidden="1" customWidth="1"/>
    <col min="12542" max="12542" width="42" style="1059" customWidth="1"/>
    <col min="12543" max="12543" width="62.85546875" style="1059" customWidth="1"/>
    <col min="12544" max="12544" width="9.42578125" style="1059"/>
    <col min="12545" max="12545" width="0" style="1059" hidden="1" customWidth="1"/>
    <col min="12546" max="12546" width="42" style="1059" customWidth="1"/>
    <col min="12547" max="12547" width="62.85546875" style="1059" customWidth="1"/>
    <col min="12548" max="12548" width="13.28515625" style="1059" customWidth="1"/>
    <col min="12549" max="12549" width="11" style="1059" customWidth="1"/>
    <col min="12550" max="12550" width="10.5703125" style="1059" customWidth="1"/>
    <col min="12551" max="12551" width="10.7109375" style="1059" customWidth="1"/>
    <col min="12552" max="12552" width="10.5703125" style="1059" customWidth="1"/>
    <col min="12553" max="12553" width="12.85546875" style="1059" customWidth="1"/>
    <col min="12554" max="12554" width="9.85546875" style="1059" bestFit="1" customWidth="1"/>
    <col min="12555" max="12796" width="9.140625" style="1059" customWidth="1"/>
    <col min="12797" max="12797" width="0" style="1059" hidden="1" customWidth="1"/>
    <col min="12798" max="12798" width="42" style="1059" customWidth="1"/>
    <col min="12799" max="12799" width="62.85546875" style="1059" customWidth="1"/>
    <col min="12800" max="12800" width="9.42578125" style="1059"/>
    <col min="12801" max="12801" width="0" style="1059" hidden="1" customWidth="1"/>
    <col min="12802" max="12802" width="42" style="1059" customWidth="1"/>
    <col min="12803" max="12803" width="62.85546875" style="1059" customWidth="1"/>
    <col min="12804" max="12804" width="13.28515625" style="1059" customWidth="1"/>
    <col min="12805" max="12805" width="11" style="1059" customWidth="1"/>
    <col min="12806" max="12806" width="10.5703125" style="1059" customWidth="1"/>
    <col min="12807" max="12807" width="10.7109375" style="1059" customWidth="1"/>
    <col min="12808" max="12808" width="10.5703125" style="1059" customWidth="1"/>
    <col min="12809" max="12809" width="12.85546875" style="1059" customWidth="1"/>
    <col min="12810" max="12810" width="9.85546875" style="1059" bestFit="1" customWidth="1"/>
    <col min="12811" max="13052" width="9.140625" style="1059" customWidth="1"/>
    <col min="13053" max="13053" width="0" style="1059" hidden="1" customWidth="1"/>
    <col min="13054" max="13054" width="42" style="1059" customWidth="1"/>
    <col min="13055" max="13055" width="62.85546875" style="1059" customWidth="1"/>
    <col min="13056" max="13056" width="9.42578125" style="1059"/>
    <col min="13057" max="13057" width="0" style="1059" hidden="1" customWidth="1"/>
    <col min="13058" max="13058" width="42" style="1059" customWidth="1"/>
    <col min="13059" max="13059" width="62.85546875" style="1059" customWidth="1"/>
    <col min="13060" max="13060" width="13.28515625" style="1059" customWidth="1"/>
    <col min="13061" max="13061" width="11" style="1059" customWidth="1"/>
    <col min="13062" max="13062" width="10.5703125" style="1059" customWidth="1"/>
    <col min="13063" max="13063" width="10.7109375" style="1059" customWidth="1"/>
    <col min="13064" max="13064" width="10.5703125" style="1059" customWidth="1"/>
    <col min="13065" max="13065" width="12.85546875" style="1059" customWidth="1"/>
    <col min="13066" max="13066" width="9.85546875" style="1059" bestFit="1" customWidth="1"/>
    <col min="13067" max="13308" width="9.140625" style="1059" customWidth="1"/>
    <col min="13309" max="13309" width="0" style="1059" hidden="1" customWidth="1"/>
    <col min="13310" max="13310" width="42" style="1059" customWidth="1"/>
    <col min="13311" max="13311" width="62.85546875" style="1059" customWidth="1"/>
    <col min="13312" max="13312" width="9.42578125" style="1059"/>
    <col min="13313" max="13313" width="0" style="1059" hidden="1" customWidth="1"/>
    <col min="13314" max="13314" width="42" style="1059" customWidth="1"/>
    <col min="13315" max="13315" width="62.85546875" style="1059" customWidth="1"/>
    <col min="13316" max="13316" width="13.28515625" style="1059" customWidth="1"/>
    <col min="13317" max="13317" width="11" style="1059" customWidth="1"/>
    <col min="13318" max="13318" width="10.5703125" style="1059" customWidth="1"/>
    <col min="13319" max="13319" width="10.7109375" style="1059" customWidth="1"/>
    <col min="13320" max="13320" width="10.5703125" style="1059" customWidth="1"/>
    <col min="13321" max="13321" width="12.85546875" style="1059" customWidth="1"/>
    <col min="13322" max="13322" width="9.85546875" style="1059" bestFit="1" customWidth="1"/>
    <col min="13323" max="13564" width="9.140625" style="1059" customWidth="1"/>
    <col min="13565" max="13565" width="0" style="1059" hidden="1" customWidth="1"/>
    <col min="13566" max="13566" width="42" style="1059" customWidth="1"/>
    <col min="13567" max="13567" width="62.85546875" style="1059" customWidth="1"/>
    <col min="13568" max="13568" width="9.42578125" style="1059"/>
    <col min="13569" max="13569" width="0" style="1059" hidden="1" customWidth="1"/>
    <col min="13570" max="13570" width="42" style="1059" customWidth="1"/>
    <col min="13571" max="13571" width="62.85546875" style="1059" customWidth="1"/>
    <col min="13572" max="13572" width="13.28515625" style="1059" customWidth="1"/>
    <col min="13573" max="13573" width="11" style="1059" customWidth="1"/>
    <col min="13574" max="13574" width="10.5703125" style="1059" customWidth="1"/>
    <col min="13575" max="13575" width="10.7109375" style="1059" customWidth="1"/>
    <col min="13576" max="13576" width="10.5703125" style="1059" customWidth="1"/>
    <col min="13577" max="13577" width="12.85546875" style="1059" customWidth="1"/>
    <col min="13578" max="13578" width="9.85546875" style="1059" bestFit="1" customWidth="1"/>
    <col min="13579" max="13820" width="9.140625" style="1059" customWidth="1"/>
    <col min="13821" max="13821" width="0" style="1059" hidden="1" customWidth="1"/>
    <col min="13822" max="13822" width="42" style="1059" customWidth="1"/>
    <col min="13823" max="13823" width="62.85546875" style="1059" customWidth="1"/>
    <col min="13824" max="13824" width="9.42578125" style="1059"/>
    <col min="13825" max="13825" width="0" style="1059" hidden="1" customWidth="1"/>
    <col min="13826" max="13826" width="42" style="1059" customWidth="1"/>
    <col min="13827" max="13827" width="62.85546875" style="1059" customWidth="1"/>
    <col min="13828" max="13828" width="13.28515625" style="1059" customWidth="1"/>
    <col min="13829" max="13829" width="11" style="1059" customWidth="1"/>
    <col min="13830" max="13830" width="10.5703125" style="1059" customWidth="1"/>
    <col min="13831" max="13831" width="10.7109375" style="1059" customWidth="1"/>
    <col min="13832" max="13832" width="10.5703125" style="1059" customWidth="1"/>
    <col min="13833" max="13833" width="12.85546875" style="1059" customWidth="1"/>
    <col min="13834" max="13834" width="9.85546875" style="1059" bestFit="1" customWidth="1"/>
    <col min="13835" max="14076" width="9.140625" style="1059" customWidth="1"/>
    <col min="14077" max="14077" width="0" style="1059" hidden="1" customWidth="1"/>
    <col min="14078" max="14078" width="42" style="1059" customWidth="1"/>
    <col min="14079" max="14079" width="62.85546875" style="1059" customWidth="1"/>
    <col min="14080" max="14080" width="9.42578125" style="1059"/>
    <col min="14081" max="14081" width="0" style="1059" hidden="1" customWidth="1"/>
    <col min="14082" max="14082" width="42" style="1059" customWidth="1"/>
    <col min="14083" max="14083" width="62.85546875" style="1059" customWidth="1"/>
    <col min="14084" max="14084" width="13.28515625" style="1059" customWidth="1"/>
    <col min="14085" max="14085" width="11" style="1059" customWidth="1"/>
    <col min="14086" max="14086" width="10.5703125" style="1059" customWidth="1"/>
    <col min="14087" max="14087" width="10.7109375" style="1059" customWidth="1"/>
    <col min="14088" max="14088" width="10.5703125" style="1059" customWidth="1"/>
    <col min="14089" max="14089" width="12.85546875" style="1059" customWidth="1"/>
    <col min="14090" max="14090" width="9.85546875" style="1059" bestFit="1" customWidth="1"/>
    <col min="14091" max="14332" width="9.140625" style="1059" customWidth="1"/>
    <col min="14333" max="14333" width="0" style="1059" hidden="1" customWidth="1"/>
    <col min="14334" max="14334" width="42" style="1059" customWidth="1"/>
    <col min="14335" max="14335" width="62.85546875" style="1059" customWidth="1"/>
    <col min="14336" max="14336" width="9.42578125" style="1059"/>
    <col min="14337" max="14337" width="0" style="1059" hidden="1" customWidth="1"/>
    <col min="14338" max="14338" width="42" style="1059" customWidth="1"/>
    <col min="14339" max="14339" width="62.85546875" style="1059" customWidth="1"/>
    <col min="14340" max="14340" width="13.28515625" style="1059" customWidth="1"/>
    <col min="14341" max="14341" width="11" style="1059" customWidth="1"/>
    <col min="14342" max="14342" width="10.5703125" style="1059" customWidth="1"/>
    <col min="14343" max="14343" width="10.7109375" style="1059" customWidth="1"/>
    <col min="14344" max="14344" width="10.5703125" style="1059" customWidth="1"/>
    <col min="14345" max="14345" width="12.85546875" style="1059" customWidth="1"/>
    <col min="14346" max="14346" width="9.85546875" style="1059" bestFit="1" customWidth="1"/>
    <col min="14347" max="14588" width="9.140625" style="1059" customWidth="1"/>
    <col min="14589" max="14589" width="0" style="1059" hidden="1" customWidth="1"/>
    <col min="14590" max="14590" width="42" style="1059" customWidth="1"/>
    <col min="14591" max="14591" width="62.85546875" style="1059" customWidth="1"/>
    <col min="14592" max="14592" width="9.42578125" style="1059"/>
    <col min="14593" max="14593" width="0" style="1059" hidden="1" customWidth="1"/>
    <col min="14594" max="14594" width="42" style="1059" customWidth="1"/>
    <col min="14595" max="14595" width="62.85546875" style="1059" customWidth="1"/>
    <col min="14596" max="14596" width="13.28515625" style="1059" customWidth="1"/>
    <col min="14597" max="14597" width="11" style="1059" customWidth="1"/>
    <col min="14598" max="14598" width="10.5703125" style="1059" customWidth="1"/>
    <col min="14599" max="14599" width="10.7109375" style="1059" customWidth="1"/>
    <col min="14600" max="14600" width="10.5703125" style="1059" customWidth="1"/>
    <col min="14601" max="14601" width="12.85546875" style="1059" customWidth="1"/>
    <col min="14602" max="14602" width="9.85546875" style="1059" bestFit="1" customWidth="1"/>
    <col min="14603" max="14844" width="9.140625" style="1059" customWidth="1"/>
    <col min="14845" max="14845" width="0" style="1059" hidden="1" customWidth="1"/>
    <col min="14846" max="14846" width="42" style="1059" customWidth="1"/>
    <col min="14847" max="14847" width="62.85546875" style="1059" customWidth="1"/>
    <col min="14848" max="14848" width="9.42578125" style="1059"/>
    <col min="14849" max="14849" width="0" style="1059" hidden="1" customWidth="1"/>
    <col min="14850" max="14850" width="42" style="1059" customWidth="1"/>
    <col min="14851" max="14851" width="62.85546875" style="1059" customWidth="1"/>
    <col min="14852" max="14852" width="13.28515625" style="1059" customWidth="1"/>
    <col min="14853" max="14853" width="11" style="1059" customWidth="1"/>
    <col min="14854" max="14854" width="10.5703125" style="1059" customWidth="1"/>
    <col min="14855" max="14855" width="10.7109375" style="1059" customWidth="1"/>
    <col min="14856" max="14856" width="10.5703125" style="1059" customWidth="1"/>
    <col min="14857" max="14857" width="12.85546875" style="1059" customWidth="1"/>
    <col min="14858" max="14858" width="9.85546875" style="1059" bestFit="1" customWidth="1"/>
    <col min="14859" max="15100" width="9.140625" style="1059" customWidth="1"/>
    <col min="15101" max="15101" width="0" style="1059" hidden="1" customWidth="1"/>
    <col min="15102" max="15102" width="42" style="1059" customWidth="1"/>
    <col min="15103" max="15103" width="62.85546875" style="1059" customWidth="1"/>
    <col min="15104" max="15104" width="9.42578125" style="1059"/>
    <col min="15105" max="15105" width="0" style="1059" hidden="1" customWidth="1"/>
    <col min="15106" max="15106" width="42" style="1059" customWidth="1"/>
    <col min="15107" max="15107" width="62.85546875" style="1059" customWidth="1"/>
    <col min="15108" max="15108" width="13.28515625" style="1059" customWidth="1"/>
    <col min="15109" max="15109" width="11" style="1059" customWidth="1"/>
    <col min="15110" max="15110" width="10.5703125" style="1059" customWidth="1"/>
    <col min="15111" max="15111" width="10.7109375" style="1059" customWidth="1"/>
    <col min="15112" max="15112" width="10.5703125" style="1059" customWidth="1"/>
    <col min="15113" max="15113" width="12.85546875" style="1059" customWidth="1"/>
    <col min="15114" max="15114" width="9.85546875" style="1059" bestFit="1" customWidth="1"/>
    <col min="15115" max="15356" width="9.140625" style="1059" customWidth="1"/>
    <col min="15357" max="15357" width="0" style="1059" hidden="1" customWidth="1"/>
    <col min="15358" max="15358" width="42" style="1059" customWidth="1"/>
    <col min="15359" max="15359" width="62.85546875" style="1059" customWidth="1"/>
    <col min="15360" max="15360" width="9.42578125" style="1059"/>
    <col min="15361" max="15361" width="0" style="1059" hidden="1" customWidth="1"/>
    <col min="15362" max="15362" width="42" style="1059" customWidth="1"/>
    <col min="15363" max="15363" width="62.85546875" style="1059" customWidth="1"/>
    <col min="15364" max="15364" width="13.28515625" style="1059" customWidth="1"/>
    <col min="15365" max="15365" width="11" style="1059" customWidth="1"/>
    <col min="15366" max="15366" width="10.5703125" style="1059" customWidth="1"/>
    <col min="15367" max="15367" width="10.7109375" style="1059" customWidth="1"/>
    <col min="15368" max="15368" width="10.5703125" style="1059" customWidth="1"/>
    <col min="15369" max="15369" width="12.85546875" style="1059" customWidth="1"/>
    <col min="15370" max="15370" width="9.85546875" style="1059" bestFit="1" customWidth="1"/>
    <col min="15371" max="15612" width="9.140625" style="1059" customWidth="1"/>
    <col min="15613" max="15613" width="0" style="1059" hidden="1" customWidth="1"/>
    <col min="15614" max="15614" width="42" style="1059" customWidth="1"/>
    <col min="15615" max="15615" width="62.85546875" style="1059" customWidth="1"/>
    <col min="15616" max="15616" width="9.42578125" style="1059"/>
    <col min="15617" max="15617" width="0" style="1059" hidden="1" customWidth="1"/>
    <col min="15618" max="15618" width="42" style="1059" customWidth="1"/>
    <col min="15619" max="15619" width="62.85546875" style="1059" customWidth="1"/>
    <col min="15620" max="15620" width="13.28515625" style="1059" customWidth="1"/>
    <col min="15621" max="15621" width="11" style="1059" customWidth="1"/>
    <col min="15622" max="15622" width="10.5703125" style="1059" customWidth="1"/>
    <col min="15623" max="15623" width="10.7109375" style="1059" customWidth="1"/>
    <col min="15624" max="15624" width="10.5703125" style="1059" customWidth="1"/>
    <col min="15625" max="15625" width="12.85546875" style="1059" customWidth="1"/>
    <col min="15626" max="15626" width="9.85546875" style="1059" bestFit="1" customWidth="1"/>
    <col min="15627" max="15868" width="9.140625" style="1059" customWidth="1"/>
    <col min="15869" max="15869" width="0" style="1059" hidden="1" customWidth="1"/>
    <col min="15870" max="15870" width="42" style="1059" customWidth="1"/>
    <col min="15871" max="15871" width="62.85546875" style="1059" customWidth="1"/>
    <col min="15872" max="15872" width="9.42578125" style="1059"/>
    <col min="15873" max="15873" width="0" style="1059" hidden="1" customWidth="1"/>
    <col min="15874" max="15874" width="42" style="1059" customWidth="1"/>
    <col min="15875" max="15875" width="62.85546875" style="1059" customWidth="1"/>
    <col min="15876" max="15876" width="13.28515625" style="1059" customWidth="1"/>
    <col min="15877" max="15877" width="11" style="1059" customWidth="1"/>
    <col min="15878" max="15878" width="10.5703125" style="1059" customWidth="1"/>
    <col min="15879" max="15879" width="10.7109375" style="1059" customWidth="1"/>
    <col min="15880" max="15880" width="10.5703125" style="1059" customWidth="1"/>
    <col min="15881" max="15881" width="12.85546875" style="1059" customWidth="1"/>
    <col min="15882" max="15882" width="9.85546875" style="1059" bestFit="1" customWidth="1"/>
    <col min="15883" max="16124" width="9.140625" style="1059" customWidth="1"/>
    <col min="16125" max="16125" width="0" style="1059" hidden="1" customWidth="1"/>
    <col min="16126" max="16126" width="42" style="1059" customWidth="1"/>
    <col min="16127" max="16127" width="62.85546875" style="1059" customWidth="1"/>
    <col min="16128" max="16128" width="9.42578125" style="1059"/>
    <col min="16129" max="16129" width="0" style="1059" hidden="1" customWidth="1"/>
    <col min="16130" max="16130" width="42" style="1059" customWidth="1"/>
    <col min="16131" max="16131" width="62.85546875" style="1059" customWidth="1"/>
    <col min="16132" max="16132" width="13.28515625" style="1059" customWidth="1"/>
    <col min="16133" max="16133" width="11" style="1059" customWidth="1"/>
    <col min="16134" max="16134" width="10.5703125" style="1059" customWidth="1"/>
    <col min="16135" max="16135" width="10.7109375" style="1059" customWidth="1"/>
    <col min="16136" max="16136" width="10.5703125" style="1059" customWidth="1"/>
    <col min="16137" max="16137" width="12.85546875" style="1059" customWidth="1"/>
    <col min="16138" max="16138" width="9.85546875" style="1059" bestFit="1" customWidth="1"/>
    <col min="16139" max="16380" width="9.140625" style="1059" customWidth="1"/>
    <col min="16381" max="16381" width="0" style="1059" hidden="1" customWidth="1"/>
    <col min="16382" max="16382" width="42" style="1059" customWidth="1"/>
    <col min="16383" max="16383" width="62.85546875" style="1059" customWidth="1"/>
    <col min="16384" max="16384" width="9.42578125" style="1059"/>
  </cols>
  <sheetData>
    <row r="1" spans="2:12" ht="9" customHeight="1">
      <c r="B1" s="1061"/>
      <c r="C1" s="1061"/>
      <c r="D1" s="1061"/>
      <c r="E1" s="1061"/>
      <c r="F1" s="1061"/>
      <c r="G1" s="1061"/>
      <c r="H1" s="1061"/>
      <c r="I1" s="1061"/>
    </row>
    <row r="2" spans="2:12">
      <c r="B2" s="1425" t="s">
        <v>456</v>
      </c>
      <c r="C2" s="1061"/>
      <c r="D2" s="1061"/>
      <c r="E2" s="1061"/>
      <c r="F2" s="1061"/>
      <c r="G2" s="1061"/>
      <c r="H2" s="1061"/>
      <c r="I2" s="1061"/>
    </row>
    <row r="3" spans="2:12">
      <c r="B3" s="1179"/>
      <c r="C3" s="1061"/>
      <c r="D3" s="1061"/>
      <c r="E3" s="1061"/>
      <c r="F3" s="1061"/>
      <c r="G3" s="1061"/>
      <c r="H3" s="1061"/>
      <c r="I3" s="1061"/>
    </row>
    <row r="4" spans="2:12" ht="25.5">
      <c r="B4" s="1176" t="s">
        <v>659</v>
      </c>
      <c r="C4" s="1426">
        <v>104006</v>
      </c>
      <c r="D4" s="1061"/>
      <c r="E4" s="1061"/>
      <c r="F4" s="1061"/>
      <c r="G4" s="1061"/>
      <c r="H4" s="1061"/>
      <c r="I4" s="1061"/>
    </row>
    <row r="5" spans="2:12">
      <c r="B5" s="1176" t="s">
        <v>658</v>
      </c>
      <c r="C5" s="1126" t="s">
        <v>454</v>
      </c>
      <c r="D5" s="1061"/>
      <c r="E5" s="1061"/>
      <c r="F5" s="1061"/>
      <c r="G5" s="1061"/>
      <c r="H5" s="1061"/>
      <c r="I5" s="1061"/>
    </row>
    <row r="6" spans="2:12">
      <c r="B6" s="1061"/>
      <c r="C6" s="1061"/>
      <c r="D6" s="1061"/>
      <c r="E6" s="1061"/>
      <c r="F6" s="1061"/>
      <c r="G6" s="1061"/>
      <c r="H6" s="1061"/>
      <c r="I6" s="1061"/>
    </row>
    <row r="7" spans="2:12">
      <c r="B7" s="1425" t="s">
        <v>657</v>
      </c>
      <c r="C7" s="1061"/>
      <c r="D7" s="1061"/>
      <c r="E7" s="1061"/>
      <c r="F7" s="1061"/>
      <c r="G7" s="1061"/>
      <c r="H7" s="1061"/>
      <c r="I7" s="1061"/>
    </row>
    <row r="8" spans="2:12" ht="8.25" customHeight="1">
      <c r="B8" s="1425"/>
      <c r="C8" s="1061"/>
      <c r="D8" s="1061"/>
      <c r="E8" s="1061"/>
      <c r="F8" s="1061"/>
      <c r="G8" s="1061"/>
      <c r="H8" s="1061"/>
      <c r="I8" s="1061"/>
    </row>
    <row r="9" spans="2:12">
      <c r="B9" s="1424" t="s">
        <v>494</v>
      </c>
      <c r="C9" s="1424" t="s">
        <v>493</v>
      </c>
      <c r="D9" s="1061"/>
      <c r="E9" s="1061"/>
      <c r="F9" s="1061"/>
      <c r="G9" s="1061"/>
      <c r="H9" s="1061"/>
      <c r="I9" s="1061"/>
    </row>
    <row r="10" spans="2:12" ht="27" customHeight="1">
      <c r="B10" s="1171">
        <v>1016</v>
      </c>
      <c r="C10" s="1171" t="s">
        <v>656</v>
      </c>
      <c r="D10" s="1061"/>
      <c r="E10" s="1061"/>
      <c r="F10" s="1061"/>
      <c r="G10" s="1061"/>
      <c r="H10" s="1061"/>
      <c r="I10" s="1061"/>
    </row>
    <row r="11" spans="2:12" ht="14.25" customHeight="1">
      <c r="B11" s="1316"/>
      <c r="C11" s="1061"/>
      <c r="D11" s="1061"/>
      <c r="E11" s="1061"/>
      <c r="F11" s="1061"/>
      <c r="G11" s="1061"/>
      <c r="H11" s="1061"/>
      <c r="I11" s="1061"/>
    </row>
    <row r="12" spans="2:12">
      <c r="B12" s="1297" t="s">
        <v>492</v>
      </c>
      <c r="C12" s="1061"/>
      <c r="D12" s="1061"/>
      <c r="E12" s="1061"/>
      <c r="F12" s="1062"/>
      <c r="G12" s="1062"/>
      <c r="H12" s="1062"/>
      <c r="I12" s="1062"/>
    </row>
    <row r="13" spans="2:12">
      <c r="B13" s="1176" t="s">
        <v>487</v>
      </c>
      <c r="C13" s="1420" t="s">
        <v>486</v>
      </c>
      <c r="D13" s="1421"/>
      <c r="E13" s="1181"/>
      <c r="F13" s="1423"/>
      <c r="G13" s="1423"/>
      <c r="H13" s="1423"/>
      <c r="I13" s="1423"/>
      <c r="J13" s="1062"/>
    </row>
    <row r="14" spans="2:12" ht="25.5">
      <c r="B14" s="1176" t="s">
        <v>485</v>
      </c>
      <c r="C14" s="1422">
        <v>104006</v>
      </c>
      <c r="D14" s="1421"/>
      <c r="E14" s="1181"/>
      <c r="F14" s="1181"/>
      <c r="G14" s="1181"/>
      <c r="H14" s="1181"/>
      <c r="I14" s="1181"/>
      <c r="J14" s="1062"/>
    </row>
    <row r="15" spans="2:12">
      <c r="B15" s="1176" t="s">
        <v>484</v>
      </c>
      <c r="C15" s="1420" t="s">
        <v>454</v>
      </c>
      <c r="D15" s="1419"/>
      <c r="E15" s="1418"/>
      <c r="F15" s="1418"/>
      <c r="G15" s="1418"/>
      <c r="H15" s="1418"/>
      <c r="I15" s="1418"/>
      <c r="J15" s="1062"/>
    </row>
    <row r="16" spans="2:12">
      <c r="B16" s="1176" t="s">
        <v>482</v>
      </c>
      <c r="C16" s="1178">
        <v>1016</v>
      </c>
      <c r="D16" s="2111" t="s">
        <v>481</v>
      </c>
      <c r="E16" s="2112"/>
      <c r="F16" s="2112"/>
      <c r="G16" s="2112"/>
      <c r="H16" s="2112"/>
      <c r="I16" s="2112"/>
      <c r="J16" s="2112"/>
      <c r="K16" s="2112"/>
      <c r="L16" s="2113"/>
    </row>
    <row r="17" spans="2:12" ht="12.75" customHeight="1">
      <c r="B17" s="1176" t="s">
        <v>480</v>
      </c>
      <c r="C17" s="1178">
        <v>11001</v>
      </c>
      <c r="D17" s="2117" t="s">
        <v>479</v>
      </c>
      <c r="E17" s="2117" t="s">
        <v>478</v>
      </c>
      <c r="F17" s="2117" t="s">
        <v>477</v>
      </c>
      <c r="G17" s="2117" t="s">
        <v>476</v>
      </c>
      <c r="H17" s="2117" t="s">
        <v>475</v>
      </c>
      <c r="I17" s="2117" t="s">
        <v>445</v>
      </c>
      <c r="J17" s="2123" t="s">
        <v>474</v>
      </c>
      <c r="K17" s="2123" t="s">
        <v>473</v>
      </c>
      <c r="L17" s="2120" t="s">
        <v>472</v>
      </c>
    </row>
    <row r="18" spans="2:12" ht="32.25" customHeight="1">
      <c r="B18" s="1172" t="s">
        <v>350</v>
      </c>
      <c r="C18" s="1126" t="s">
        <v>655</v>
      </c>
      <c r="D18" s="2118"/>
      <c r="E18" s="2118"/>
      <c r="F18" s="2118"/>
      <c r="G18" s="2118"/>
      <c r="H18" s="2118"/>
      <c r="I18" s="2118"/>
      <c r="J18" s="2123"/>
      <c r="K18" s="2123"/>
      <c r="L18" s="2120"/>
    </row>
    <row r="19" spans="2:12" ht="32.25" customHeight="1">
      <c r="B19" s="1172" t="s">
        <v>471</v>
      </c>
      <c r="C19" s="1126" t="s">
        <v>436</v>
      </c>
      <c r="D19" s="2118"/>
      <c r="E19" s="2118"/>
      <c r="F19" s="2118"/>
      <c r="G19" s="2118"/>
      <c r="H19" s="2118"/>
      <c r="I19" s="2118"/>
      <c r="J19" s="2123"/>
      <c r="K19" s="2123"/>
      <c r="L19" s="2120"/>
    </row>
    <row r="20" spans="2:12">
      <c r="B20" s="1172" t="s">
        <v>346</v>
      </c>
      <c r="C20" s="1016" t="s">
        <v>345</v>
      </c>
      <c r="D20" s="2118"/>
      <c r="E20" s="2118"/>
      <c r="F20" s="2118"/>
      <c r="G20" s="2118"/>
      <c r="H20" s="2118"/>
      <c r="I20" s="2118"/>
      <c r="J20" s="2123"/>
      <c r="K20" s="2123"/>
      <c r="L20" s="2120"/>
    </row>
    <row r="21" spans="2:12" ht="27.75" customHeight="1">
      <c r="B21" s="1171" t="s">
        <v>512</v>
      </c>
      <c r="C21" s="1126" t="s">
        <v>467</v>
      </c>
      <c r="D21" s="2118"/>
      <c r="E21" s="2118"/>
      <c r="F21" s="2118"/>
      <c r="G21" s="2118"/>
      <c r="H21" s="2118"/>
      <c r="I21" s="2118"/>
      <c r="J21" s="2123"/>
      <c r="K21" s="2123"/>
      <c r="L21" s="2120"/>
    </row>
    <row r="22" spans="2:12">
      <c r="B22" s="1176"/>
      <c r="C22" s="1176" t="s">
        <v>466</v>
      </c>
      <c r="D22" s="2119"/>
      <c r="E22" s="2119"/>
      <c r="F22" s="2119"/>
      <c r="G22" s="2119"/>
      <c r="H22" s="2119"/>
      <c r="I22" s="2119"/>
      <c r="J22" s="2123"/>
      <c r="K22" s="2123"/>
      <c r="L22" s="2120"/>
    </row>
    <row r="23" spans="2:12" ht="65.25" customHeight="1">
      <c r="B23" s="1169" t="s">
        <v>462</v>
      </c>
      <c r="C23" s="1084" t="s">
        <v>654</v>
      </c>
      <c r="D23" s="1416">
        <v>119</v>
      </c>
      <c r="E23" s="1417">
        <v>102</v>
      </c>
      <c r="F23" s="1080">
        <v>25</v>
      </c>
      <c r="G23" s="1080">
        <v>51</v>
      </c>
      <c r="H23" s="1080">
        <v>75</v>
      </c>
      <c r="I23" s="1080">
        <v>102</v>
      </c>
      <c r="J23" s="1080">
        <v>102</v>
      </c>
      <c r="K23" s="1080">
        <v>102</v>
      </c>
      <c r="L23" s="1159"/>
    </row>
    <row r="24" spans="2:12" ht="54" customHeight="1">
      <c r="B24" s="1169" t="s">
        <v>462</v>
      </c>
      <c r="C24" s="1084" t="s">
        <v>653</v>
      </c>
      <c r="D24" s="1416">
        <v>71</v>
      </c>
      <c r="E24" s="1415">
        <v>56</v>
      </c>
      <c r="F24" s="1080">
        <v>15</v>
      </c>
      <c r="G24" s="1080">
        <v>30</v>
      </c>
      <c r="H24" s="1080">
        <v>45</v>
      </c>
      <c r="I24" s="1080">
        <v>58</v>
      </c>
      <c r="J24" s="1080">
        <v>58</v>
      </c>
      <c r="K24" s="1080">
        <v>58</v>
      </c>
      <c r="L24" s="1159"/>
    </row>
    <row r="25" spans="2:12" ht="15" customHeight="1">
      <c r="B25" s="1414" t="s">
        <v>457</v>
      </c>
      <c r="C25" s="1414"/>
      <c r="D25" s="1252">
        <v>38077.199999999997</v>
      </c>
      <c r="E25" s="1252">
        <v>45461.8</v>
      </c>
      <c r="F25" s="1081">
        <f>I25*20%</f>
        <v>9092.36</v>
      </c>
      <c r="G25" s="1081">
        <f>I25*45%</f>
        <v>20457.810000000001</v>
      </c>
      <c r="H25" s="1081">
        <f>I25*70%</f>
        <v>31823.26</v>
      </c>
      <c r="I25" s="1252">
        <v>45461.8</v>
      </c>
      <c r="J25" s="1252">
        <v>45461.8</v>
      </c>
      <c r="K25" s="1252">
        <v>45461.8</v>
      </c>
      <c r="L25" s="1159"/>
    </row>
    <row r="26" spans="2:12" ht="53.25" customHeight="1">
      <c r="B26" s="1316"/>
      <c r="C26" s="1061"/>
      <c r="D26" s="1413"/>
      <c r="E26" s="1413"/>
      <c r="F26" s="1413"/>
      <c r="G26" s="1413"/>
      <c r="H26" s="1413"/>
      <c r="I26" s="1413"/>
    </row>
    <row r="27" spans="2:12" ht="17.25" customHeight="1">
      <c r="B27" s="1176" t="s">
        <v>487</v>
      </c>
      <c r="C27" s="1126" t="s">
        <v>486</v>
      </c>
      <c r="D27" s="1061"/>
      <c r="E27" s="1061"/>
      <c r="F27" s="1061"/>
      <c r="G27" s="1061"/>
      <c r="H27" s="1061"/>
      <c r="I27" s="1061"/>
    </row>
    <row r="28" spans="2:12" ht="30" customHeight="1">
      <c r="B28" s="1176" t="s">
        <v>485</v>
      </c>
      <c r="C28" s="1178">
        <v>104006</v>
      </c>
      <c r="D28" s="1061"/>
      <c r="E28" s="1061"/>
      <c r="F28" s="1061"/>
      <c r="G28" s="1061"/>
      <c r="H28" s="1061"/>
      <c r="I28" s="1061"/>
    </row>
    <row r="29" spans="2:12" ht="16.5" customHeight="1">
      <c r="B29" s="1176" t="s">
        <v>484</v>
      </c>
      <c r="C29" s="1126" t="s">
        <v>454</v>
      </c>
      <c r="D29" s="1061"/>
      <c r="E29" s="1061"/>
      <c r="F29" s="1061"/>
      <c r="G29" s="1061"/>
      <c r="H29" s="1061"/>
      <c r="I29" s="1061"/>
    </row>
    <row r="30" spans="2:12">
      <c r="B30" s="1176" t="s">
        <v>482</v>
      </c>
      <c r="C30" s="1178">
        <v>1016</v>
      </c>
      <c r="D30" s="2111" t="s">
        <v>481</v>
      </c>
      <c r="E30" s="2112"/>
      <c r="F30" s="2112"/>
      <c r="G30" s="2112"/>
      <c r="H30" s="2112"/>
      <c r="I30" s="2112"/>
      <c r="J30" s="2112"/>
      <c r="K30" s="2112"/>
      <c r="L30" s="2113"/>
    </row>
    <row r="31" spans="2:12" ht="12.75" customHeight="1">
      <c r="B31" s="1176" t="s">
        <v>480</v>
      </c>
      <c r="C31" s="1178">
        <v>11002</v>
      </c>
      <c r="D31" s="2117" t="s">
        <v>479</v>
      </c>
      <c r="E31" s="2117" t="s">
        <v>478</v>
      </c>
      <c r="F31" s="2117" t="s">
        <v>477</v>
      </c>
      <c r="G31" s="2117" t="s">
        <v>476</v>
      </c>
      <c r="H31" s="2117" t="s">
        <v>475</v>
      </c>
      <c r="I31" s="2117" t="s">
        <v>445</v>
      </c>
      <c r="J31" s="2123" t="s">
        <v>474</v>
      </c>
      <c r="K31" s="2123" t="s">
        <v>473</v>
      </c>
      <c r="L31" s="2120" t="s">
        <v>472</v>
      </c>
    </row>
    <row r="32" spans="2:12" ht="15.75" customHeight="1">
      <c r="B32" s="1172" t="s">
        <v>350</v>
      </c>
      <c r="C32" s="1126" t="s">
        <v>652</v>
      </c>
      <c r="D32" s="2118"/>
      <c r="E32" s="2118"/>
      <c r="F32" s="2118"/>
      <c r="G32" s="2118"/>
      <c r="H32" s="2118"/>
      <c r="I32" s="2118"/>
      <c r="J32" s="2123"/>
      <c r="K32" s="2123"/>
      <c r="L32" s="2120"/>
    </row>
    <row r="33" spans="2:18" ht="29.25" customHeight="1">
      <c r="B33" s="1172" t="s">
        <v>471</v>
      </c>
      <c r="C33" s="1105" t="s">
        <v>651</v>
      </c>
      <c r="D33" s="2118"/>
      <c r="E33" s="2118"/>
      <c r="F33" s="2118"/>
      <c r="G33" s="2118"/>
      <c r="H33" s="2118"/>
      <c r="I33" s="2118"/>
      <c r="J33" s="2123"/>
      <c r="K33" s="2123"/>
      <c r="L33" s="2120"/>
    </row>
    <row r="34" spans="2:18" ht="15" customHeight="1">
      <c r="B34" s="1172" t="s">
        <v>346</v>
      </c>
      <c r="C34" s="1016" t="s">
        <v>345</v>
      </c>
      <c r="D34" s="2118"/>
      <c r="E34" s="2118"/>
      <c r="F34" s="2118"/>
      <c r="G34" s="2118"/>
      <c r="H34" s="2118"/>
      <c r="I34" s="2118"/>
      <c r="J34" s="2123"/>
      <c r="K34" s="2123"/>
      <c r="L34" s="2120"/>
    </row>
    <row r="35" spans="2:18" ht="14.25" customHeight="1">
      <c r="B35" s="1171" t="s">
        <v>512</v>
      </c>
      <c r="C35" s="1258" t="s">
        <v>467</v>
      </c>
      <c r="D35" s="2118"/>
      <c r="E35" s="2118"/>
      <c r="F35" s="2118"/>
      <c r="G35" s="2118"/>
      <c r="H35" s="2118"/>
      <c r="I35" s="2118"/>
      <c r="J35" s="2123"/>
      <c r="K35" s="2123"/>
      <c r="L35" s="2120"/>
    </row>
    <row r="36" spans="2:18">
      <c r="B36" s="1412"/>
      <c r="C36" s="1227" t="s">
        <v>466</v>
      </c>
      <c r="D36" s="2119"/>
      <c r="E36" s="2119"/>
      <c r="F36" s="2119"/>
      <c r="G36" s="2119"/>
      <c r="H36" s="2119"/>
      <c r="I36" s="2119"/>
      <c r="J36" s="2123"/>
      <c r="K36" s="2123"/>
      <c r="L36" s="2120"/>
    </row>
    <row r="37" spans="2:18" s="1262" customFormat="1" ht="54" customHeight="1">
      <c r="B37" s="1397" t="s">
        <v>462</v>
      </c>
      <c r="C37" s="1403" t="s">
        <v>650</v>
      </c>
      <c r="D37" s="1395">
        <v>40480</v>
      </c>
      <c r="E37" s="1404">
        <v>43420</v>
      </c>
      <c r="F37" s="1404">
        <v>5932.9602127512599</v>
      </c>
      <c r="G37" s="1404">
        <v>20128.915921807005</v>
      </c>
      <c r="H37" s="1404">
        <v>36708.915921807005</v>
      </c>
      <c r="I37" s="1404">
        <v>49180</v>
      </c>
      <c r="J37" s="1404">
        <v>51620</v>
      </c>
      <c r="K37" s="1404">
        <v>54060</v>
      </c>
      <c r="L37" s="1264"/>
      <c r="M37" s="1263"/>
      <c r="N37" s="1263"/>
      <c r="O37" s="1263"/>
    </row>
    <row r="38" spans="2:18" s="1262" customFormat="1" ht="52.5" customHeight="1">
      <c r="B38" s="1397" t="s">
        <v>462</v>
      </c>
      <c r="C38" s="1403" t="s">
        <v>649</v>
      </c>
      <c r="D38" s="1395">
        <v>215428</v>
      </c>
      <c r="E38" s="1404">
        <v>75300</v>
      </c>
      <c r="F38" s="1404">
        <v>150992</v>
      </c>
      <c r="G38" s="1404">
        <v>301984.00000000006</v>
      </c>
      <c r="H38" s="1404">
        <v>452975.99999999994</v>
      </c>
      <c r="I38" s="1404">
        <v>604068</v>
      </c>
      <c r="J38" s="1404">
        <v>745440</v>
      </c>
      <c r="K38" s="1404">
        <v>879468</v>
      </c>
      <c r="L38" s="1264"/>
      <c r="M38" s="1263"/>
      <c r="N38" s="1263"/>
      <c r="O38" s="1263"/>
    </row>
    <row r="39" spans="2:18" s="1262" customFormat="1" ht="51.75" customHeight="1">
      <c r="B39" s="1397" t="s">
        <v>462</v>
      </c>
      <c r="C39" s="1403" t="s">
        <v>648</v>
      </c>
      <c r="D39" s="1402">
        <v>2040</v>
      </c>
      <c r="E39" s="1402">
        <v>2040</v>
      </c>
      <c r="F39" s="1404">
        <v>160</v>
      </c>
      <c r="G39" s="1404">
        <v>840</v>
      </c>
      <c r="H39" s="1404">
        <v>1520</v>
      </c>
      <c r="I39" s="1404">
        <v>2040</v>
      </c>
      <c r="J39" s="1404">
        <v>2040</v>
      </c>
      <c r="K39" s="1404">
        <v>2040</v>
      </c>
      <c r="L39" s="1264"/>
      <c r="M39" s="1263"/>
      <c r="N39" s="1263"/>
      <c r="O39" s="1263"/>
    </row>
    <row r="40" spans="2:18" s="1262" customFormat="1" ht="19.5" customHeight="1">
      <c r="B40" s="1397" t="s">
        <v>462</v>
      </c>
      <c r="C40" s="1411" t="s">
        <v>647</v>
      </c>
      <c r="D40" s="1410">
        <v>500</v>
      </c>
      <c r="E40" s="1410">
        <v>500</v>
      </c>
      <c r="F40" s="1410">
        <v>0</v>
      </c>
      <c r="G40" s="1410">
        <v>1375</v>
      </c>
      <c r="H40" s="1410">
        <v>2750</v>
      </c>
      <c r="I40" s="1410">
        <v>2750</v>
      </c>
      <c r="J40" s="1410">
        <v>5000</v>
      </c>
      <c r="K40" s="1400">
        <v>7500</v>
      </c>
      <c r="L40" s="1264"/>
      <c r="M40" s="1407"/>
      <c r="N40" s="1406"/>
      <c r="O40" s="1406"/>
      <c r="P40" s="1406"/>
      <c r="Q40" s="1406"/>
      <c r="R40" s="1406"/>
    </row>
    <row r="41" spans="2:18" s="1262" customFormat="1" ht="63.75" customHeight="1">
      <c r="B41" s="1397" t="s">
        <v>462</v>
      </c>
      <c r="C41" s="1411" t="s">
        <v>646</v>
      </c>
      <c r="D41" s="1395">
        <v>17220</v>
      </c>
      <c r="E41" s="1404">
        <v>17220</v>
      </c>
      <c r="F41" s="1410">
        <v>956</v>
      </c>
      <c r="G41" s="1410">
        <v>6614</v>
      </c>
      <c r="H41" s="1410">
        <v>12200</v>
      </c>
      <c r="I41" s="1410">
        <v>17220</v>
      </c>
      <c r="J41" s="1410">
        <v>17220</v>
      </c>
      <c r="K41" s="1410">
        <v>17220</v>
      </c>
      <c r="L41" s="1264"/>
      <c r="M41" s="1407"/>
      <c r="N41" s="1406"/>
      <c r="O41" s="1406"/>
      <c r="P41" s="1406"/>
      <c r="Q41" s="1406"/>
      <c r="R41" s="1406"/>
    </row>
    <row r="42" spans="2:18" s="1262" customFormat="1" ht="66.599999999999994" customHeight="1">
      <c r="B42" s="1397" t="s">
        <v>462</v>
      </c>
      <c r="C42" s="1403" t="s">
        <v>645</v>
      </c>
      <c r="D42" s="1395">
        <v>15940</v>
      </c>
      <c r="E42" s="1402">
        <v>15940</v>
      </c>
      <c r="F42" s="1410">
        <v>4306</v>
      </c>
      <c r="G42" s="1410">
        <v>8612</v>
      </c>
      <c r="H42" s="1410">
        <v>12918</v>
      </c>
      <c r="I42" s="1409">
        <v>17224</v>
      </c>
      <c r="J42" s="1409">
        <v>20192</v>
      </c>
      <c r="K42" s="1409">
        <v>22958</v>
      </c>
      <c r="L42" s="1264"/>
      <c r="M42" s="1407"/>
      <c r="N42" s="1406"/>
      <c r="O42" s="1406"/>
      <c r="P42" s="1406"/>
      <c r="Q42" s="1406"/>
      <c r="R42" s="1406"/>
    </row>
    <row r="43" spans="2:18" s="1262" customFormat="1" ht="53.25" customHeight="1">
      <c r="B43" s="1397" t="s">
        <v>462</v>
      </c>
      <c r="C43" s="1403" t="s">
        <v>644</v>
      </c>
      <c r="D43" s="1405">
        <v>3200</v>
      </c>
      <c r="E43" s="1402">
        <v>3200</v>
      </c>
      <c r="F43" s="1410">
        <v>0</v>
      </c>
      <c r="G43" s="1410">
        <v>1540</v>
      </c>
      <c r="H43" s="1410">
        <v>1540</v>
      </c>
      <c r="I43" s="1409">
        <v>3080</v>
      </c>
      <c r="J43" s="1409">
        <v>3640</v>
      </c>
      <c r="K43" s="1409">
        <v>4060</v>
      </c>
      <c r="L43" s="1264"/>
      <c r="M43" s="1407"/>
      <c r="N43" s="1406"/>
      <c r="O43" s="1406"/>
      <c r="P43" s="1406"/>
      <c r="Q43" s="1406"/>
      <c r="R43" s="1406"/>
    </row>
    <row r="44" spans="2:18" s="1262" customFormat="1" ht="39.75" customHeight="1">
      <c r="B44" s="1397" t="s">
        <v>462</v>
      </c>
      <c r="C44" s="1408" t="s">
        <v>643</v>
      </c>
      <c r="D44" s="1405">
        <v>1296</v>
      </c>
      <c r="E44" s="1401">
        <v>300</v>
      </c>
      <c r="F44" s="1401">
        <v>75</v>
      </c>
      <c r="G44" s="1401">
        <v>150</v>
      </c>
      <c r="H44" s="1401">
        <v>225</v>
      </c>
      <c r="I44" s="1401">
        <v>810</v>
      </c>
      <c r="J44" s="1401">
        <v>1110</v>
      </c>
      <c r="K44" s="1401">
        <v>1410</v>
      </c>
      <c r="L44" s="1264"/>
      <c r="M44" s="1407"/>
      <c r="N44" s="1406"/>
      <c r="O44" s="1406"/>
      <c r="P44" s="1406"/>
      <c r="Q44" s="1406"/>
      <c r="R44" s="1406"/>
    </row>
    <row r="45" spans="2:18" s="1262" customFormat="1" ht="26.25" customHeight="1">
      <c r="B45" s="1397" t="s">
        <v>462</v>
      </c>
      <c r="C45" s="1403" t="s">
        <v>642</v>
      </c>
      <c r="D45" s="1405">
        <v>31</v>
      </c>
      <c r="E45" s="1401">
        <v>31</v>
      </c>
      <c r="F45" s="1401">
        <v>8</v>
      </c>
      <c r="G45" s="1401">
        <v>16</v>
      </c>
      <c r="H45" s="1401">
        <v>24</v>
      </c>
      <c r="I45" s="1401">
        <v>32</v>
      </c>
      <c r="J45" s="1401">
        <v>33</v>
      </c>
      <c r="K45" s="1401">
        <v>34</v>
      </c>
      <c r="L45" s="1264"/>
      <c r="M45" s="1263"/>
      <c r="N45" s="1263"/>
      <c r="O45" s="1263"/>
    </row>
    <row r="46" spans="2:18" s="1262" customFormat="1" ht="52.5" customHeight="1">
      <c r="B46" s="1397" t="s">
        <v>462</v>
      </c>
      <c r="C46" s="1403" t="s">
        <v>641</v>
      </c>
      <c r="D46" s="1404">
        <v>1050</v>
      </c>
      <c r="E46" s="1401">
        <v>1050</v>
      </c>
      <c r="F46" s="1401">
        <v>0</v>
      </c>
      <c r="G46" s="1401">
        <v>0</v>
      </c>
      <c r="H46" s="1401">
        <v>1050</v>
      </c>
      <c r="I46" s="1401">
        <v>1050</v>
      </c>
      <c r="J46" s="1401">
        <v>1050</v>
      </c>
      <c r="K46" s="1401">
        <v>1050</v>
      </c>
      <c r="L46" s="1264"/>
      <c r="M46" s="1263"/>
      <c r="N46" s="1263"/>
      <c r="O46" s="1263"/>
    </row>
    <row r="47" spans="2:18" s="1262" customFormat="1" ht="26.25" customHeight="1">
      <c r="B47" s="1397" t="s">
        <v>462</v>
      </c>
      <c r="C47" s="1403" t="s">
        <v>640</v>
      </c>
      <c r="D47" s="1404">
        <v>25</v>
      </c>
      <c r="E47" s="1401">
        <v>25</v>
      </c>
      <c r="F47" s="1401">
        <v>5</v>
      </c>
      <c r="G47" s="1401">
        <v>12</v>
      </c>
      <c r="H47" s="1401">
        <v>18</v>
      </c>
      <c r="I47" s="1401">
        <v>25</v>
      </c>
      <c r="J47" s="1401">
        <v>25</v>
      </c>
      <c r="K47" s="1401">
        <v>25</v>
      </c>
      <c r="L47" s="1264"/>
      <c r="M47" s="1263"/>
      <c r="N47" s="1263"/>
      <c r="O47" s="1263"/>
    </row>
    <row r="48" spans="2:18" s="1262" customFormat="1" ht="26.25" customHeight="1">
      <c r="B48" s="1397" t="s">
        <v>462</v>
      </c>
      <c r="C48" s="1403" t="s">
        <v>639</v>
      </c>
      <c r="D48" s="1402">
        <v>253</v>
      </c>
      <c r="E48" s="1401">
        <v>253</v>
      </c>
      <c r="F48" s="1401">
        <v>253</v>
      </c>
      <c r="G48" s="1401">
        <v>253</v>
      </c>
      <c r="H48" s="1401">
        <v>253</v>
      </c>
      <c r="I48" s="1401">
        <v>253</v>
      </c>
      <c r="J48" s="1401">
        <v>253</v>
      </c>
      <c r="K48" s="1401">
        <v>253</v>
      </c>
      <c r="L48" s="1264"/>
      <c r="M48" s="1263"/>
      <c r="N48" s="1263"/>
      <c r="O48" s="1263"/>
    </row>
    <row r="49" spans="2:15" s="1262" customFormat="1" ht="66.75" customHeight="1">
      <c r="B49" s="1397" t="s">
        <v>462</v>
      </c>
      <c r="C49" s="1288" t="s">
        <v>638</v>
      </c>
      <c r="D49" s="1401">
        <v>8</v>
      </c>
      <c r="E49" s="1400">
        <v>8</v>
      </c>
      <c r="F49" s="1394">
        <v>1</v>
      </c>
      <c r="G49" s="1394">
        <v>2</v>
      </c>
      <c r="H49" s="1394">
        <v>3</v>
      </c>
      <c r="I49" s="1394">
        <v>8</v>
      </c>
      <c r="J49" s="1393">
        <v>8</v>
      </c>
      <c r="K49" s="1392">
        <v>8</v>
      </c>
      <c r="L49" s="1264"/>
      <c r="M49" s="1263"/>
      <c r="N49" s="1263"/>
      <c r="O49" s="1263"/>
    </row>
    <row r="50" spans="2:15" s="1262" customFormat="1" ht="40.5" customHeight="1">
      <c r="B50" s="1399" t="s">
        <v>459</v>
      </c>
      <c r="C50" s="1288" t="s">
        <v>637</v>
      </c>
      <c r="D50" s="1395">
        <v>100</v>
      </c>
      <c r="E50" s="1398">
        <v>100</v>
      </c>
      <c r="F50" s="1395">
        <v>100</v>
      </c>
      <c r="G50" s="1395">
        <v>100</v>
      </c>
      <c r="H50" s="1395">
        <v>100</v>
      </c>
      <c r="I50" s="1395">
        <v>100</v>
      </c>
      <c r="J50" s="1395">
        <v>100</v>
      </c>
      <c r="K50" s="1395">
        <v>100</v>
      </c>
      <c r="L50" s="1264"/>
      <c r="M50" s="1263"/>
      <c r="N50" s="1263"/>
      <c r="O50" s="1263"/>
    </row>
    <row r="51" spans="2:15" s="1262" customFormat="1" ht="39.75" customHeight="1">
      <c r="B51" s="1397" t="s">
        <v>462</v>
      </c>
      <c r="C51" s="1396" t="s">
        <v>636</v>
      </c>
      <c r="D51" s="1395">
        <v>0</v>
      </c>
      <c r="E51" s="1395">
        <v>0</v>
      </c>
      <c r="F51" s="1394">
        <v>1100</v>
      </c>
      <c r="G51" s="1394">
        <v>3420</v>
      </c>
      <c r="H51" s="1394">
        <v>5740</v>
      </c>
      <c r="I51" s="1394">
        <v>6840</v>
      </c>
      <c r="J51" s="1393">
        <v>7000</v>
      </c>
      <c r="K51" s="1392">
        <v>8000</v>
      </c>
      <c r="L51" s="1264"/>
      <c r="M51" s="1263"/>
      <c r="N51" s="1263"/>
      <c r="O51" s="1263"/>
    </row>
    <row r="52" spans="2:15" ht="15" customHeight="1">
      <c r="B52" s="1165" t="s">
        <v>457</v>
      </c>
      <c r="C52" s="1164"/>
      <c r="D52" s="1183">
        <v>317246.7</v>
      </c>
      <c r="E52" s="1282">
        <v>273641.8</v>
      </c>
      <c r="F52" s="1081">
        <f>I52*20%</f>
        <v>128084.18000000001</v>
      </c>
      <c r="G52" s="1081">
        <f>I52*45%</f>
        <v>288189.40500000003</v>
      </c>
      <c r="H52" s="1081">
        <f>I52*70%</f>
        <v>448294.63</v>
      </c>
      <c r="I52" s="1391">
        <v>640420.9</v>
      </c>
      <c r="J52" s="1390">
        <v>718155.2</v>
      </c>
      <c r="K52" s="1389">
        <v>678517</v>
      </c>
      <c r="L52" s="1159"/>
    </row>
    <row r="53" spans="2:15" s="1060" customFormat="1" ht="30" customHeight="1">
      <c r="B53" s="1388"/>
      <c r="C53" s="1387"/>
      <c r="D53" s="1386"/>
      <c r="E53" s="1385"/>
      <c r="F53" s="1200"/>
      <c r="G53" s="1200"/>
      <c r="H53" s="1200"/>
      <c r="I53" s="1385"/>
      <c r="J53" s="1062"/>
      <c r="K53" s="1062"/>
      <c r="L53" s="1062"/>
    </row>
    <row r="54" spans="2:15" s="1370" customFormat="1" ht="18.75">
      <c r="B54" s="1098" t="s">
        <v>494</v>
      </c>
      <c r="C54" s="1098" t="s">
        <v>493</v>
      </c>
      <c r="D54" s="1382"/>
      <c r="E54" s="1382"/>
      <c r="F54" s="1382"/>
      <c r="G54" s="1382"/>
      <c r="H54" s="1382"/>
      <c r="I54" s="1382"/>
      <c r="J54" s="1382"/>
      <c r="K54" s="1382"/>
      <c r="L54" s="1382"/>
      <c r="M54" s="1371"/>
      <c r="N54" s="1371"/>
      <c r="O54" s="1371"/>
    </row>
    <row r="55" spans="2:15" s="1370" customFormat="1" ht="18.75">
      <c r="B55" s="1384">
        <v>1020</v>
      </c>
      <c r="C55" s="1095" t="s">
        <v>634</v>
      </c>
      <c r="D55" s="1382"/>
      <c r="E55" s="1382"/>
      <c r="F55" s="1382"/>
      <c r="G55" s="1382"/>
      <c r="H55" s="1382"/>
      <c r="I55" s="1382"/>
      <c r="J55" s="1382"/>
      <c r="K55" s="1382"/>
      <c r="L55" s="1382"/>
      <c r="M55" s="1371"/>
      <c r="N55" s="1371"/>
      <c r="O55" s="1371"/>
    </row>
    <row r="56" spans="2:15" s="1370" customFormat="1" ht="10.5" customHeight="1">
      <c r="B56" s="1383"/>
      <c r="C56" s="1382"/>
      <c r="D56" s="1382"/>
      <c r="E56" s="1382"/>
      <c r="F56" s="1382"/>
      <c r="G56" s="1382"/>
      <c r="H56" s="1382"/>
      <c r="I56" s="1382"/>
      <c r="J56" s="1382"/>
      <c r="K56" s="1382"/>
      <c r="L56" s="1382"/>
      <c r="M56" s="1371"/>
      <c r="N56" s="1371"/>
      <c r="O56" s="1371"/>
    </row>
    <row r="57" spans="2:15" s="1370" customFormat="1" ht="18.75">
      <c r="B57" s="1357" t="s">
        <v>492</v>
      </c>
      <c r="C57" s="1382"/>
      <c r="D57" s="1382"/>
      <c r="E57" s="1382"/>
      <c r="F57" s="1382"/>
      <c r="G57" s="1382"/>
      <c r="H57" s="1382" t="s">
        <v>428</v>
      </c>
      <c r="I57" s="1382"/>
      <c r="J57" s="1382"/>
      <c r="K57" s="1382"/>
      <c r="L57" s="1382"/>
      <c r="M57" s="1371"/>
      <c r="N57" s="1371"/>
      <c r="O57" s="1371"/>
    </row>
    <row r="58" spans="2:15" s="1370" customFormat="1" ht="10.5" customHeight="1">
      <c r="B58" s="1383"/>
      <c r="C58" s="1382"/>
      <c r="D58" s="1382"/>
      <c r="E58" s="1382"/>
      <c r="F58" s="1382"/>
      <c r="G58" s="1382"/>
      <c r="H58" s="1382"/>
      <c r="I58" s="1382"/>
      <c r="J58" s="1382"/>
      <c r="K58" s="1382"/>
      <c r="L58" s="1382"/>
      <c r="M58" s="1371" t="s">
        <v>428</v>
      </c>
      <c r="N58" s="1371"/>
      <c r="O58" s="1371"/>
    </row>
    <row r="59" spans="2:15" s="1370" customFormat="1" ht="18.75">
      <c r="B59" s="1381" t="s">
        <v>487</v>
      </c>
      <c r="C59" s="1108" t="s">
        <v>486</v>
      </c>
      <c r="D59" s="1382"/>
      <c r="E59" s="1382"/>
      <c r="F59" s="1382"/>
      <c r="G59" s="1382"/>
      <c r="H59" s="1382"/>
      <c r="I59" s="1382"/>
      <c r="J59" s="1382"/>
      <c r="K59" s="1382"/>
      <c r="L59" s="1382"/>
      <c r="M59" s="1371"/>
      <c r="N59" s="1371"/>
      <c r="O59" s="1371"/>
    </row>
    <row r="60" spans="2:15" s="1370" customFormat="1" ht="21">
      <c r="B60" s="1381" t="s">
        <v>485</v>
      </c>
      <c r="C60" s="1099">
        <v>104006</v>
      </c>
      <c r="D60" s="1382"/>
      <c r="E60" s="1382"/>
      <c r="F60" s="1382"/>
      <c r="G60" s="1382"/>
      <c r="H60" s="1382"/>
      <c r="I60" s="1382"/>
      <c r="J60" s="1382"/>
      <c r="K60" s="1382"/>
      <c r="L60" s="1382"/>
      <c r="M60" s="1371"/>
      <c r="N60" s="1371"/>
      <c r="O60" s="1371"/>
    </row>
    <row r="61" spans="2:15" s="1370" customFormat="1" ht="18.75">
      <c r="B61" s="1381" t="s">
        <v>484</v>
      </c>
      <c r="C61" s="1356" t="s">
        <v>635</v>
      </c>
      <c r="D61" s="1382"/>
      <c r="E61" s="1382"/>
      <c r="F61" s="1382"/>
      <c r="G61" s="1382"/>
      <c r="H61" s="1382"/>
      <c r="I61" s="1382"/>
      <c r="J61" s="1382"/>
      <c r="K61" s="1382"/>
      <c r="L61" s="1382"/>
      <c r="M61" s="1371"/>
      <c r="N61" s="1371"/>
      <c r="O61" s="1371"/>
    </row>
    <row r="62" spans="2:15" s="1370" customFormat="1" ht="12.75" customHeight="1">
      <c r="B62" s="1381" t="s">
        <v>482</v>
      </c>
      <c r="C62" s="1356">
        <v>1020</v>
      </c>
      <c r="D62" s="2111" t="s">
        <v>481</v>
      </c>
      <c r="E62" s="2112"/>
      <c r="F62" s="2112"/>
      <c r="G62" s="2112"/>
      <c r="H62" s="2112"/>
      <c r="I62" s="2112"/>
      <c r="J62" s="2112"/>
      <c r="K62" s="2112"/>
      <c r="L62" s="2113"/>
      <c r="M62" s="1371"/>
      <c r="N62" s="1371"/>
      <c r="O62" s="1371"/>
    </row>
    <row r="63" spans="2:15" s="1370" customFormat="1" ht="15.75" customHeight="1">
      <c r="B63" s="1381" t="s">
        <v>480</v>
      </c>
      <c r="C63" s="1139">
        <v>11001</v>
      </c>
      <c r="D63" s="2114" t="s">
        <v>479</v>
      </c>
      <c r="E63" s="2114" t="s">
        <v>478</v>
      </c>
      <c r="F63" s="2117" t="s">
        <v>477</v>
      </c>
      <c r="G63" s="2117" t="s">
        <v>476</v>
      </c>
      <c r="H63" s="2117" t="s">
        <v>475</v>
      </c>
      <c r="I63" s="2117" t="s">
        <v>445</v>
      </c>
      <c r="J63" s="2123" t="s">
        <v>474</v>
      </c>
      <c r="K63" s="2123" t="s">
        <v>473</v>
      </c>
      <c r="L63" s="2120" t="s">
        <v>472</v>
      </c>
      <c r="M63" s="1371"/>
      <c r="N63" s="1371"/>
      <c r="O63" s="1371"/>
    </row>
    <row r="64" spans="2:15" s="1370" customFormat="1" ht="18.75">
      <c r="B64" s="1379" t="s">
        <v>350</v>
      </c>
      <c r="C64" s="1380" t="s">
        <v>634</v>
      </c>
      <c r="D64" s="2115"/>
      <c r="E64" s="2115"/>
      <c r="F64" s="2118"/>
      <c r="G64" s="2118"/>
      <c r="H64" s="2118"/>
      <c r="I64" s="2118"/>
      <c r="J64" s="2123"/>
      <c r="K64" s="2123"/>
      <c r="L64" s="2120"/>
      <c r="M64" s="1371"/>
      <c r="N64" s="1371"/>
      <c r="O64" s="1371"/>
    </row>
    <row r="65" spans="2:15" s="1370" customFormat="1" ht="76.5">
      <c r="B65" s="1379" t="s">
        <v>471</v>
      </c>
      <c r="C65" s="1356" t="s">
        <v>633</v>
      </c>
      <c r="D65" s="2115"/>
      <c r="E65" s="2115"/>
      <c r="F65" s="2118"/>
      <c r="G65" s="2118"/>
      <c r="H65" s="2118"/>
      <c r="I65" s="2118"/>
      <c r="J65" s="2123"/>
      <c r="K65" s="2123"/>
      <c r="L65" s="2120"/>
      <c r="M65" s="1371"/>
      <c r="N65" s="1371"/>
      <c r="O65" s="1371"/>
    </row>
    <row r="66" spans="2:15" s="1370" customFormat="1" ht="18.75">
      <c r="B66" s="1379" t="s">
        <v>346</v>
      </c>
      <c r="C66" s="1016" t="s">
        <v>345</v>
      </c>
      <c r="D66" s="2115"/>
      <c r="E66" s="2115"/>
      <c r="F66" s="2118"/>
      <c r="G66" s="2118"/>
      <c r="H66" s="2118"/>
      <c r="I66" s="2118"/>
      <c r="J66" s="2123"/>
      <c r="K66" s="2123"/>
      <c r="L66" s="2120"/>
      <c r="M66" s="1371"/>
      <c r="N66" s="1371"/>
      <c r="O66" s="1371"/>
    </row>
    <row r="67" spans="2:15" s="1370" customFormat="1" ht="15" customHeight="1">
      <c r="B67" s="1093" t="s">
        <v>468</v>
      </c>
      <c r="C67" s="1258" t="s">
        <v>467</v>
      </c>
      <c r="D67" s="2115"/>
      <c r="E67" s="2115"/>
      <c r="F67" s="2118"/>
      <c r="G67" s="2118"/>
      <c r="H67" s="2118"/>
      <c r="I67" s="2118"/>
      <c r="J67" s="2123"/>
      <c r="K67" s="2123"/>
      <c r="L67" s="2120"/>
      <c r="M67" s="1371"/>
      <c r="N67" s="1371"/>
      <c r="O67" s="1371"/>
    </row>
    <row r="68" spans="2:15" s="1370" customFormat="1" ht="18.75">
      <c r="B68" s="1090" t="s">
        <v>466</v>
      </c>
      <c r="C68" s="1090"/>
      <c r="D68" s="2116"/>
      <c r="E68" s="2116"/>
      <c r="F68" s="2119"/>
      <c r="G68" s="2119"/>
      <c r="H68" s="2119"/>
      <c r="I68" s="2119"/>
      <c r="J68" s="2123"/>
      <c r="K68" s="2123"/>
      <c r="L68" s="2120"/>
      <c r="M68" s="1371"/>
      <c r="N68" s="1371"/>
      <c r="O68" s="1371"/>
    </row>
    <row r="69" spans="2:15" s="1370" customFormat="1" ht="18.75">
      <c r="B69" s="1086" t="s">
        <v>462</v>
      </c>
      <c r="C69" s="1377" t="s">
        <v>632</v>
      </c>
      <c r="D69" s="1373">
        <v>137240</v>
      </c>
      <c r="E69" s="1373">
        <v>134688</v>
      </c>
      <c r="F69" s="1372">
        <v>33840</v>
      </c>
      <c r="G69" s="1372">
        <v>68056</v>
      </c>
      <c r="H69" s="1372">
        <v>102648</v>
      </c>
      <c r="I69" s="1372">
        <v>137240</v>
      </c>
      <c r="J69" s="1372">
        <v>137240</v>
      </c>
      <c r="K69" s="1372">
        <v>137240</v>
      </c>
      <c r="L69" s="1365"/>
      <c r="M69" s="1371"/>
      <c r="N69" s="1371"/>
      <c r="O69" s="1371"/>
    </row>
    <row r="70" spans="2:15" s="1370" customFormat="1" ht="18.75">
      <c r="B70" s="1086" t="s">
        <v>462</v>
      </c>
      <c r="C70" s="1378" t="s">
        <v>631</v>
      </c>
      <c r="D70" s="1373">
        <v>231</v>
      </c>
      <c r="E70" s="1373">
        <v>366</v>
      </c>
      <c r="F70" s="1372">
        <v>90</v>
      </c>
      <c r="G70" s="1372">
        <v>181</v>
      </c>
      <c r="H70" s="1372">
        <v>273</v>
      </c>
      <c r="I70" s="1372">
        <v>365</v>
      </c>
      <c r="J70" s="1372">
        <v>365</v>
      </c>
      <c r="K70" s="1372">
        <v>365</v>
      </c>
      <c r="L70" s="1365"/>
      <c r="M70" s="1371"/>
      <c r="N70" s="1371"/>
      <c r="O70" s="1371"/>
    </row>
    <row r="71" spans="2:15" s="1370" customFormat="1" ht="18.75">
      <c r="B71" s="1086" t="s">
        <v>462</v>
      </c>
      <c r="C71" s="1377" t="s">
        <v>630</v>
      </c>
      <c r="D71" s="1373">
        <v>14940</v>
      </c>
      <c r="E71" s="1373">
        <v>14940</v>
      </c>
      <c r="F71" s="1372">
        <f t="shared" ref="F71:K71" si="0">F72+F73</f>
        <v>3994</v>
      </c>
      <c r="G71" s="1372">
        <f t="shared" si="0"/>
        <v>8271</v>
      </c>
      <c r="H71" s="1372">
        <f t="shared" si="0"/>
        <v>12595</v>
      </c>
      <c r="I71" s="1372">
        <f t="shared" si="0"/>
        <v>16795</v>
      </c>
      <c r="J71" s="1372">
        <f t="shared" si="0"/>
        <v>16795</v>
      </c>
      <c r="K71" s="1372">
        <f t="shared" si="0"/>
        <v>16795</v>
      </c>
      <c r="L71" s="1365"/>
      <c r="M71" s="1371"/>
      <c r="N71" s="1371"/>
      <c r="O71" s="1371"/>
    </row>
    <row r="72" spans="2:15" s="1370" customFormat="1" ht="18.75">
      <c r="B72" s="1086" t="s">
        <v>462</v>
      </c>
      <c r="C72" s="1377" t="s">
        <v>629</v>
      </c>
      <c r="D72" s="1373">
        <v>12960</v>
      </c>
      <c r="E72" s="1373">
        <v>12960</v>
      </c>
      <c r="F72" s="1372">
        <v>3150</v>
      </c>
      <c r="G72" s="1372">
        <v>6335</v>
      </c>
      <c r="H72" s="1372">
        <v>9555</v>
      </c>
      <c r="I72" s="1372">
        <v>12775</v>
      </c>
      <c r="J72" s="1372">
        <v>12775</v>
      </c>
      <c r="K72" s="1372">
        <v>12775</v>
      </c>
      <c r="L72" s="1365"/>
      <c r="M72" s="1371"/>
      <c r="N72" s="1371"/>
      <c r="O72" s="1371"/>
    </row>
    <row r="73" spans="2:15" s="1370" customFormat="1" ht="18.75">
      <c r="B73" s="1086" t="s">
        <v>462</v>
      </c>
      <c r="C73" s="1377" t="s">
        <v>628</v>
      </c>
      <c r="D73" s="1373">
        <v>1980</v>
      </c>
      <c r="E73" s="1373">
        <v>1980</v>
      </c>
      <c r="F73" s="1372">
        <v>844</v>
      </c>
      <c r="G73" s="1372">
        <v>1936</v>
      </c>
      <c r="H73" s="1372">
        <v>3040</v>
      </c>
      <c r="I73" s="1372">
        <v>4020</v>
      </c>
      <c r="J73" s="1372">
        <v>4020</v>
      </c>
      <c r="K73" s="1372">
        <v>4020</v>
      </c>
      <c r="L73" s="1365"/>
      <c r="M73" s="1371"/>
      <c r="N73" s="1371"/>
      <c r="O73" s="1371"/>
    </row>
    <row r="74" spans="2:15" s="1370" customFormat="1" ht="18.75">
      <c r="B74" s="1086" t="s">
        <v>462</v>
      </c>
      <c r="C74" s="1376" t="s">
        <v>627</v>
      </c>
      <c r="D74" s="1373">
        <v>21000</v>
      </c>
      <c r="E74" s="1373">
        <v>21000</v>
      </c>
      <c r="F74" s="1372">
        <v>525</v>
      </c>
      <c r="G74" s="1372">
        <v>1050</v>
      </c>
      <c r="H74" s="1372">
        <v>1575</v>
      </c>
      <c r="I74" s="1372">
        <v>21000</v>
      </c>
      <c r="J74" s="1372">
        <v>21000</v>
      </c>
      <c r="K74" s="1372">
        <v>21000</v>
      </c>
      <c r="L74" s="1365"/>
      <c r="M74" s="1371"/>
      <c r="N74" s="1371"/>
      <c r="O74" s="1371"/>
    </row>
    <row r="75" spans="2:15" s="1370" customFormat="1" ht="18.75">
      <c r="B75" s="1086" t="s">
        <v>462</v>
      </c>
      <c r="C75" s="1376" t="s">
        <v>626</v>
      </c>
      <c r="D75" s="1373">
        <v>76926</v>
      </c>
      <c r="E75" s="1373">
        <v>76926</v>
      </c>
      <c r="F75" s="1372">
        <v>525</v>
      </c>
      <c r="G75" s="1372">
        <v>1050</v>
      </c>
      <c r="H75" s="1372">
        <v>1575</v>
      </c>
      <c r="I75" s="1372">
        <v>21000</v>
      </c>
      <c r="J75" s="1372">
        <v>21000</v>
      </c>
      <c r="K75" s="1372">
        <v>21000</v>
      </c>
      <c r="L75" s="1365"/>
      <c r="M75" s="1371"/>
      <c r="N75" s="1371"/>
      <c r="O75" s="1371"/>
    </row>
    <row r="76" spans="2:15" s="1370" customFormat="1" ht="18.75">
      <c r="B76" s="1086" t="s">
        <v>462</v>
      </c>
      <c r="C76" s="1376" t="s">
        <v>625</v>
      </c>
      <c r="D76" s="1373">
        <v>12825</v>
      </c>
      <c r="E76" s="1373">
        <v>12826</v>
      </c>
      <c r="F76" s="1372">
        <f t="shared" ref="F76:K76" si="1">F77+F78</f>
        <v>2880</v>
      </c>
      <c r="G76" s="1372">
        <f t="shared" si="1"/>
        <v>5792</v>
      </c>
      <c r="H76" s="1372">
        <f t="shared" si="1"/>
        <v>8736</v>
      </c>
      <c r="I76" s="1372">
        <f t="shared" si="1"/>
        <v>11680</v>
      </c>
      <c r="J76" s="1372">
        <f t="shared" si="1"/>
        <v>11680</v>
      </c>
      <c r="K76" s="1372">
        <f t="shared" si="1"/>
        <v>11680</v>
      </c>
      <c r="L76" s="1365"/>
      <c r="M76" s="1371"/>
      <c r="N76" s="1371"/>
      <c r="O76" s="1371"/>
    </row>
    <row r="77" spans="2:15" s="1370" customFormat="1" ht="18.75">
      <c r="B77" s="1086" t="s">
        <v>462</v>
      </c>
      <c r="C77" s="1377" t="s">
        <v>624</v>
      </c>
      <c r="D77" s="1373">
        <v>12460</v>
      </c>
      <c r="E77" s="1373">
        <v>12460</v>
      </c>
      <c r="F77" s="1372">
        <v>2790</v>
      </c>
      <c r="G77" s="1372">
        <v>5611</v>
      </c>
      <c r="H77" s="1372">
        <v>8463</v>
      </c>
      <c r="I77" s="1372">
        <v>11315</v>
      </c>
      <c r="J77" s="1372">
        <v>11315</v>
      </c>
      <c r="K77" s="1372">
        <v>11315</v>
      </c>
      <c r="L77" s="1365"/>
      <c r="M77" s="1371"/>
      <c r="N77" s="1371"/>
      <c r="O77" s="1371"/>
    </row>
    <row r="78" spans="2:15" s="1370" customFormat="1" ht="50.25" customHeight="1">
      <c r="B78" s="1086" t="s">
        <v>462</v>
      </c>
      <c r="C78" s="1376" t="s">
        <v>623</v>
      </c>
      <c r="D78" s="1373">
        <v>365</v>
      </c>
      <c r="E78" s="1373">
        <v>366</v>
      </c>
      <c r="F78" s="1372">
        <v>90</v>
      </c>
      <c r="G78" s="1372">
        <v>181</v>
      </c>
      <c r="H78" s="1372">
        <v>273</v>
      </c>
      <c r="I78" s="1372">
        <v>365</v>
      </c>
      <c r="J78" s="1372">
        <v>365</v>
      </c>
      <c r="K78" s="1372">
        <v>365</v>
      </c>
      <c r="L78" s="1365"/>
      <c r="M78" s="1371"/>
      <c r="N78" s="1371"/>
      <c r="O78" s="1371"/>
    </row>
    <row r="79" spans="2:15" s="1370" customFormat="1" ht="18.75">
      <c r="B79" s="1086" t="s">
        <v>462</v>
      </c>
      <c r="C79" s="1375" t="s">
        <v>622</v>
      </c>
      <c r="D79" s="1373">
        <v>78</v>
      </c>
      <c r="E79" s="1373">
        <v>221</v>
      </c>
      <c r="F79" s="1372">
        <v>31</v>
      </c>
      <c r="G79" s="1372">
        <v>122</v>
      </c>
      <c r="H79" s="1372">
        <v>214</v>
      </c>
      <c r="I79" s="1372">
        <v>221</v>
      </c>
      <c r="J79" s="1372">
        <v>221</v>
      </c>
      <c r="K79" s="1372">
        <v>221</v>
      </c>
      <c r="L79" s="1365"/>
      <c r="M79" s="1371"/>
      <c r="N79" s="1371"/>
      <c r="O79" s="1371"/>
    </row>
    <row r="80" spans="2:15" s="1370" customFormat="1" ht="42.75" customHeight="1">
      <c r="B80" s="1086" t="s">
        <v>462</v>
      </c>
      <c r="C80" s="1374" t="s">
        <v>621</v>
      </c>
      <c r="D80" s="1373">
        <v>4</v>
      </c>
      <c r="E80" s="1373">
        <v>4</v>
      </c>
      <c r="F80" s="1372">
        <v>4</v>
      </c>
      <c r="G80" s="1372">
        <v>4</v>
      </c>
      <c r="H80" s="1372">
        <v>4</v>
      </c>
      <c r="I80" s="1372">
        <v>4</v>
      </c>
      <c r="J80" s="1372">
        <v>4</v>
      </c>
      <c r="K80" s="1372">
        <v>4</v>
      </c>
      <c r="L80" s="1365"/>
      <c r="M80" s="1371"/>
      <c r="N80" s="1371"/>
      <c r="O80" s="1371"/>
    </row>
    <row r="81" spans="1:15" s="1370" customFormat="1" ht="51">
      <c r="B81" s="1085" t="s">
        <v>459</v>
      </c>
      <c r="C81" s="1374" t="s">
        <v>620</v>
      </c>
      <c r="D81" s="1373">
        <v>85</v>
      </c>
      <c r="E81" s="1373">
        <v>85</v>
      </c>
      <c r="F81" s="1372">
        <v>85</v>
      </c>
      <c r="G81" s="1372">
        <v>85</v>
      </c>
      <c r="H81" s="1372">
        <v>85</v>
      </c>
      <c r="I81" s="1372">
        <v>85</v>
      </c>
      <c r="J81" s="1372">
        <v>85</v>
      </c>
      <c r="K81" s="1372">
        <v>85</v>
      </c>
      <c r="L81" s="1365"/>
      <c r="M81" s="1371"/>
      <c r="N81" s="1371"/>
      <c r="O81" s="1371"/>
    </row>
    <row r="82" spans="1:15" s="1364" customFormat="1" ht="15" customHeight="1">
      <c r="B82" s="1369" t="s">
        <v>457</v>
      </c>
      <c r="C82" s="1368"/>
      <c r="D82" s="1367"/>
      <c r="E82" s="1366"/>
      <c r="F82" s="1348">
        <f>I82*20%</f>
        <v>270460</v>
      </c>
      <c r="G82" s="1348">
        <f>I82*45%</f>
        <v>608535</v>
      </c>
      <c r="H82" s="1348">
        <f>I82*70%</f>
        <v>946609.99999999988</v>
      </c>
      <c r="I82" s="1366">
        <v>1352300</v>
      </c>
      <c r="J82" s="1366">
        <v>1352300</v>
      </c>
      <c r="K82" s="1366">
        <v>1352300</v>
      </c>
      <c r="L82" s="1365"/>
      <c r="M82" s="1358"/>
      <c r="N82" s="1358"/>
      <c r="O82" s="1358"/>
    </row>
    <row r="83" spans="1:15" s="1358" customFormat="1" ht="15" customHeight="1">
      <c r="B83" s="1363"/>
      <c r="C83" s="1362"/>
      <c r="D83" s="1361"/>
      <c r="E83" s="1361"/>
      <c r="F83" s="1360"/>
      <c r="G83" s="1360"/>
      <c r="H83" s="1360"/>
      <c r="I83" s="1360"/>
      <c r="J83" s="1360"/>
      <c r="K83" s="1360"/>
      <c r="L83" s="1359"/>
    </row>
    <row r="84" spans="1:15" s="995" customFormat="1" ht="16.5" customHeight="1">
      <c r="A84" s="1034"/>
      <c r="B84" s="1098" t="s">
        <v>494</v>
      </c>
      <c r="C84" s="1098" t="s">
        <v>493</v>
      </c>
      <c r="D84" s="1008"/>
      <c r="J84" s="1008"/>
      <c r="M84" s="1008"/>
      <c r="N84" s="1008"/>
      <c r="O84" s="1008"/>
    </row>
    <row r="85" spans="1:15" s="995" customFormat="1" ht="27" customHeight="1">
      <c r="A85" s="1034"/>
      <c r="B85" s="1339">
        <v>1071</v>
      </c>
      <c r="C85" s="1108" t="s">
        <v>619</v>
      </c>
      <c r="D85" s="1008"/>
      <c r="J85" s="1008"/>
      <c r="M85" s="1008"/>
      <c r="N85" s="1008"/>
      <c r="O85" s="1008"/>
    </row>
    <row r="86" spans="1:15" s="995" customFormat="1" ht="9" customHeight="1">
      <c r="A86" s="1034"/>
      <c r="D86" s="1008"/>
      <c r="J86" s="1008"/>
      <c r="M86" s="1008"/>
      <c r="N86" s="1008"/>
      <c r="O86" s="1008"/>
    </row>
    <row r="87" spans="1:15" s="1091" customFormat="1" ht="14.25">
      <c r="A87" s="1094"/>
      <c r="B87" s="1357" t="s">
        <v>492</v>
      </c>
      <c r="D87" s="1078"/>
      <c r="J87" s="1078"/>
      <c r="M87" s="1078"/>
      <c r="N87" s="1078"/>
      <c r="O87" s="1078"/>
    </row>
    <row r="88" spans="1:15" s="995" customFormat="1" ht="8.25" customHeight="1">
      <c r="A88" s="1034"/>
      <c r="D88" s="1008"/>
      <c r="J88" s="1008"/>
      <c r="M88" s="1008"/>
      <c r="N88" s="1008"/>
      <c r="O88" s="1008"/>
    </row>
    <row r="89" spans="1:15" s="1101" customFormat="1" ht="14.25">
      <c r="A89" s="1103"/>
      <c r="B89" s="1106" t="s">
        <v>487</v>
      </c>
      <c r="C89" s="1108" t="s">
        <v>486</v>
      </c>
      <c r="D89" s="1107"/>
      <c r="E89" s="1034"/>
      <c r="F89" s="1103"/>
      <c r="G89" s="1103"/>
      <c r="H89" s="1103"/>
      <c r="I89" s="1103"/>
      <c r="J89" s="1102"/>
      <c r="M89" s="1102"/>
      <c r="N89" s="1102"/>
      <c r="O89" s="1102"/>
    </row>
    <row r="90" spans="1:15" s="1101" customFormat="1" ht="25.5">
      <c r="A90" s="1103"/>
      <c r="B90" s="1106" t="s">
        <v>485</v>
      </c>
      <c r="C90" s="1099">
        <v>104006</v>
      </c>
      <c r="D90" s="1104"/>
      <c r="E90" s="1103"/>
      <c r="F90" s="1103"/>
      <c r="G90" s="1103"/>
      <c r="H90" s="1103"/>
      <c r="I90" s="1103"/>
      <c r="J90" s="1102"/>
      <c r="M90" s="1102"/>
      <c r="N90" s="1102"/>
      <c r="O90" s="1102"/>
    </row>
    <row r="91" spans="1:15" s="1101" customFormat="1">
      <c r="A91" s="1103"/>
      <c r="B91" s="1106" t="s">
        <v>484</v>
      </c>
      <c r="C91" s="1126" t="s">
        <v>454</v>
      </c>
      <c r="D91" s="1104"/>
      <c r="E91" s="1103"/>
      <c r="F91" s="1103"/>
      <c r="G91" s="1103"/>
      <c r="H91" s="1103"/>
      <c r="I91" s="1103"/>
      <c r="J91" s="1102"/>
      <c r="M91" s="1102"/>
      <c r="N91" s="1102"/>
      <c r="O91" s="1102"/>
    </row>
    <row r="92" spans="1:15" s="995" customFormat="1" ht="15" customHeight="1">
      <c r="A92" s="1034"/>
      <c r="B92" s="1098" t="s">
        <v>482</v>
      </c>
      <c r="C92" s="1100">
        <v>1071</v>
      </c>
      <c r="D92" s="2111" t="s">
        <v>481</v>
      </c>
      <c r="E92" s="2112"/>
      <c r="F92" s="2112"/>
      <c r="G92" s="2112"/>
      <c r="H92" s="2112"/>
      <c r="I92" s="2112"/>
      <c r="J92" s="2112"/>
      <c r="K92" s="2112"/>
      <c r="L92" s="2113"/>
      <c r="M92" s="1008"/>
      <c r="N92" s="1008"/>
      <c r="O92" s="1008"/>
    </row>
    <row r="93" spans="1:15" s="995" customFormat="1" ht="12.75" customHeight="1">
      <c r="A93" s="1034"/>
      <c r="B93" s="1098" t="s">
        <v>480</v>
      </c>
      <c r="C93" s="1099">
        <v>11001</v>
      </c>
      <c r="D93" s="2117" t="s">
        <v>479</v>
      </c>
      <c r="E93" s="2123" t="s">
        <v>478</v>
      </c>
      <c r="F93" s="2117" t="s">
        <v>477</v>
      </c>
      <c r="G93" s="2117" t="s">
        <v>476</v>
      </c>
      <c r="H93" s="2117" t="s">
        <v>475</v>
      </c>
      <c r="I93" s="2123" t="s">
        <v>445</v>
      </c>
      <c r="J93" s="2123" t="s">
        <v>474</v>
      </c>
      <c r="K93" s="2123" t="s">
        <v>473</v>
      </c>
      <c r="L93" s="2120" t="s">
        <v>472</v>
      </c>
      <c r="M93" s="1008"/>
      <c r="N93" s="1008"/>
      <c r="O93" s="1008"/>
    </row>
    <row r="94" spans="1:15" s="995" customFormat="1" ht="26.25" customHeight="1">
      <c r="A94" s="1034"/>
      <c r="B94" s="1098" t="s">
        <v>350</v>
      </c>
      <c r="C94" s="1108" t="s">
        <v>618</v>
      </c>
      <c r="D94" s="2118"/>
      <c r="E94" s="2123"/>
      <c r="F94" s="2118"/>
      <c r="G94" s="2118"/>
      <c r="H94" s="2118"/>
      <c r="I94" s="2123"/>
      <c r="J94" s="2123"/>
      <c r="K94" s="2123"/>
      <c r="L94" s="2120"/>
      <c r="M94" s="1008"/>
      <c r="N94" s="1008"/>
      <c r="O94" s="1008"/>
    </row>
    <row r="95" spans="1:15" s="1091" customFormat="1" ht="39.75" customHeight="1">
      <c r="A95" s="1094"/>
      <c r="B95" s="1090" t="s">
        <v>471</v>
      </c>
      <c r="C95" s="1356" t="s">
        <v>423</v>
      </c>
      <c r="D95" s="2118"/>
      <c r="E95" s="2123"/>
      <c r="F95" s="2118"/>
      <c r="G95" s="2118"/>
      <c r="H95" s="2118"/>
      <c r="I95" s="2123"/>
      <c r="J95" s="2123"/>
      <c r="K95" s="2123"/>
      <c r="L95" s="2120"/>
      <c r="M95" s="1078"/>
      <c r="N95" s="1078"/>
      <c r="O95" s="1078"/>
    </row>
    <row r="96" spans="1:15" s="1091" customFormat="1" ht="14.25" customHeight="1">
      <c r="A96" s="1094"/>
      <c r="B96" s="1096" t="s">
        <v>469</v>
      </c>
      <c r="C96" s="1124" t="s">
        <v>345</v>
      </c>
      <c r="D96" s="2118"/>
      <c r="E96" s="2123"/>
      <c r="F96" s="2118"/>
      <c r="G96" s="2118"/>
      <c r="H96" s="2118"/>
      <c r="I96" s="2123"/>
      <c r="J96" s="2123"/>
      <c r="K96" s="2123"/>
      <c r="L96" s="2120"/>
      <c r="M96" s="1078"/>
      <c r="N96" s="1078"/>
      <c r="O96" s="1078"/>
    </row>
    <row r="97" spans="1:15" s="1091" customFormat="1" ht="16.5" customHeight="1">
      <c r="A97" s="1094"/>
      <c r="B97" s="1093" t="s">
        <v>468</v>
      </c>
      <c r="C97" s="1349" t="s">
        <v>454</v>
      </c>
      <c r="D97" s="2119"/>
      <c r="E97" s="2123"/>
      <c r="F97" s="2119"/>
      <c r="G97" s="2119"/>
      <c r="H97" s="2119"/>
      <c r="I97" s="2123"/>
      <c r="J97" s="2123"/>
      <c r="K97" s="2123"/>
      <c r="L97" s="2120"/>
      <c r="M97" s="1078"/>
      <c r="N97" s="1078"/>
      <c r="O97" s="1078"/>
    </row>
    <row r="98" spans="1:15" s="1091" customFormat="1" ht="15.75" customHeight="1">
      <c r="A98" s="1094"/>
      <c r="B98" s="1090" t="s">
        <v>466</v>
      </c>
      <c r="C98" s="1325" t="s">
        <v>617</v>
      </c>
      <c r="D98" s="1355"/>
      <c r="E98" s="1354"/>
      <c r="F98" s="1354"/>
      <c r="G98" s="1354"/>
      <c r="H98" s="1354"/>
      <c r="I98" s="1353"/>
      <c r="J98" s="1146"/>
      <c r="K98" s="1110"/>
      <c r="L98" s="1110"/>
      <c r="M98" s="1078"/>
      <c r="N98" s="1078"/>
      <c r="O98" s="1078"/>
    </row>
    <row r="99" spans="1:15" s="1091" customFormat="1" ht="16.5" customHeight="1">
      <c r="A99" s="1094"/>
      <c r="B99" s="1112" t="s">
        <v>457</v>
      </c>
      <c r="C99" s="1111"/>
      <c r="D99" s="1352">
        <v>1066981.51</v>
      </c>
      <c r="E99" s="1082">
        <v>1053075.6000000001</v>
      </c>
      <c r="F99" s="1081">
        <f>I99*20%</f>
        <v>216216.54237538</v>
      </c>
      <c r="G99" s="1081">
        <f>I99*45%</f>
        <v>486487.22034460498</v>
      </c>
      <c r="H99" s="1081">
        <f>I99*70%</f>
        <v>756757.89831382991</v>
      </c>
      <c r="I99" s="1082">
        <v>1081082.7118768999</v>
      </c>
      <c r="J99" s="1137">
        <v>1090986.3318330001</v>
      </c>
      <c r="K99" s="1114">
        <v>1099583.6316386999</v>
      </c>
      <c r="L99" s="1110"/>
      <c r="M99" s="1078"/>
      <c r="N99" s="1078"/>
      <c r="O99" s="1078"/>
    </row>
    <row r="100" spans="1:15" s="995" customFormat="1" ht="9.75" customHeight="1">
      <c r="A100" s="1034"/>
      <c r="D100" s="1008"/>
      <c r="J100" s="1008"/>
      <c r="M100" s="1008"/>
      <c r="N100" s="1008"/>
      <c r="O100" s="1008"/>
    </row>
    <row r="101" spans="1:15" s="1101" customFormat="1" ht="14.25">
      <c r="A101" s="1103"/>
      <c r="B101" s="1106" t="s">
        <v>487</v>
      </c>
      <c r="C101" s="1108" t="s">
        <v>486</v>
      </c>
      <c r="D101" s="1107"/>
      <c r="E101" s="1034"/>
      <c r="F101" s="1103"/>
      <c r="G101" s="1103"/>
      <c r="H101" s="1103"/>
      <c r="I101" s="1103"/>
      <c r="J101" s="1102"/>
      <c r="M101" s="1102"/>
      <c r="N101" s="1102"/>
      <c r="O101" s="1102"/>
    </row>
    <row r="102" spans="1:15" s="1101" customFormat="1" ht="25.5">
      <c r="A102" s="1103"/>
      <c r="B102" s="1106" t="s">
        <v>485</v>
      </c>
      <c r="C102" s="1099">
        <v>104006</v>
      </c>
      <c r="D102" s="1104"/>
      <c r="E102" s="1103"/>
      <c r="F102" s="1103"/>
      <c r="G102" s="1103"/>
      <c r="H102" s="1103"/>
      <c r="I102" s="1103"/>
      <c r="J102" s="1102"/>
      <c r="M102" s="1102"/>
      <c r="N102" s="1102"/>
      <c r="O102" s="1102"/>
    </row>
    <row r="103" spans="1:15" s="1101" customFormat="1">
      <c r="A103" s="1103"/>
      <c r="B103" s="1106" t="s">
        <v>484</v>
      </c>
      <c r="C103" s="1349" t="s">
        <v>454</v>
      </c>
      <c r="D103" s="1104"/>
      <c r="E103" s="1103"/>
      <c r="F103" s="1103"/>
      <c r="G103" s="1103"/>
      <c r="H103" s="1103"/>
      <c r="I103" s="1103"/>
      <c r="J103" s="1102"/>
      <c r="M103" s="1102"/>
      <c r="N103" s="1102"/>
      <c r="O103" s="1102"/>
    </row>
    <row r="104" spans="1:15" s="995" customFormat="1" ht="16.5" customHeight="1">
      <c r="A104" s="1034"/>
      <c r="B104" s="1098" t="s">
        <v>482</v>
      </c>
      <c r="C104" s="1100">
        <v>1071</v>
      </c>
      <c r="D104" s="2111" t="s">
        <v>481</v>
      </c>
      <c r="E104" s="2112"/>
      <c r="F104" s="2112"/>
      <c r="G104" s="2112"/>
      <c r="H104" s="2112"/>
      <c r="I104" s="2112"/>
      <c r="J104" s="2112"/>
      <c r="K104" s="2112"/>
      <c r="L104" s="2113"/>
      <c r="M104" s="1008"/>
      <c r="N104" s="1008"/>
      <c r="O104" s="1008"/>
    </row>
    <row r="105" spans="1:15" s="995" customFormat="1" ht="12.75" customHeight="1">
      <c r="A105" s="1034"/>
      <c r="B105" s="1098" t="s">
        <v>480</v>
      </c>
      <c r="C105" s="1099">
        <v>11002</v>
      </c>
      <c r="D105" s="2117" t="s">
        <v>479</v>
      </c>
      <c r="E105" s="2117" t="s">
        <v>478</v>
      </c>
      <c r="F105" s="2117" t="s">
        <v>477</v>
      </c>
      <c r="G105" s="2117" t="s">
        <v>476</v>
      </c>
      <c r="H105" s="2117" t="s">
        <v>475</v>
      </c>
      <c r="I105" s="2117" t="s">
        <v>445</v>
      </c>
      <c r="J105" s="2123" t="s">
        <v>474</v>
      </c>
      <c r="K105" s="2123" t="s">
        <v>473</v>
      </c>
      <c r="L105" s="2120" t="s">
        <v>472</v>
      </c>
      <c r="M105" s="1008"/>
      <c r="N105" s="1008"/>
      <c r="O105" s="1008"/>
    </row>
    <row r="106" spans="1:15" s="995" customFormat="1" ht="15" customHeight="1">
      <c r="A106" s="1034"/>
      <c r="B106" s="1098" t="s">
        <v>350</v>
      </c>
      <c r="C106" s="1108" t="s">
        <v>616</v>
      </c>
      <c r="D106" s="2118"/>
      <c r="E106" s="2118"/>
      <c r="F106" s="2118"/>
      <c r="G106" s="2118"/>
      <c r="H106" s="2118"/>
      <c r="I106" s="2118"/>
      <c r="J106" s="2123"/>
      <c r="K106" s="2123"/>
      <c r="L106" s="2120"/>
      <c r="M106" s="1008"/>
      <c r="N106" s="1008"/>
      <c r="O106" s="1008"/>
    </row>
    <row r="107" spans="1:15" s="1091" customFormat="1" ht="27" customHeight="1">
      <c r="A107" s="1094"/>
      <c r="B107" s="1090" t="s">
        <v>471</v>
      </c>
      <c r="C107" s="1351" t="s">
        <v>615</v>
      </c>
      <c r="D107" s="2118"/>
      <c r="E107" s="2118"/>
      <c r="F107" s="2118"/>
      <c r="G107" s="2118"/>
      <c r="H107" s="2118"/>
      <c r="I107" s="2118"/>
      <c r="J107" s="2123"/>
      <c r="K107" s="2123"/>
      <c r="L107" s="2120"/>
      <c r="M107" s="1078"/>
      <c r="N107" s="1078"/>
      <c r="O107" s="1078"/>
    </row>
    <row r="108" spans="1:15" s="1091" customFormat="1" ht="13.5" customHeight="1">
      <c r="A108" s="1094"/>
      <c r="B108" s="1096" t="s">
        <v>469</v>
      </c>
      <c r="C108" s="1095" t="s">
        <v>345</v>
      </c>
      <c r="D108" s="2118"/>
      <c r="E108" s="2118"/>
      <c r="F108" s="2118"/>
      <c r="G108" s="2118"/>
      <c r="H108" s="2118"/>
      <c r="I108" s="2118"/>
      <c r="J108" s="2123"/>
      <c r="K108" s="2123"/>
      <c r="L108" s="2120"/>
      <c r="M108" s="1078"/>
      <c r="N108" s="1078"/>
      <c r="O108" s="1078"/>
    </row>
    <row r="109" spans="1:15" s="1091" customFormat="1" ht="18" customHeight="1">
      <c r="A109" s="1094"/>
      <c r="B109" s="1093" t="s">
        <v>468</v>
      </c>
      <c r="C109" s="1258" t="s">
        <v>467</v>
      </c>
      <c r="D109" s="2118"/>
      <c r="E109" s="2118"/>
      <c r="F109" s="2118"/>
      <c r="G109" s="2118"/>
      <c r="H109" s="2118"/>
      <c r="I109" s="2118"/>
      <c r="J109" s="2123"/>
      <c r="K109" s="2123"/>
      <c r="L109" s="2120"/>
      <c r="M109" s="1078"/>
      <c r="N109" s="1078"/>
      <c r="O109" s="1078"/>
    </row>
    <row r="110" spans="1:15" s="1091" customFormat="1" ht="12" customHeight="1">
      <c r="A110" s="1094"/>
      <c r="B110" s="1090" t="s">
        <v>466</v>
      </c>
      <c r="C110" s="1090"/>
      <c r="D110" s="2119"/>
      <c r="E110" s="2119"/>
      <c r="F110" s="2119"/>
      <c r="G110" s="2119"/>
      <c r="H110" s="2119"/>
      <c r="I110" s="2119"/>
      <c r="J110" s="2123"/>
      <c r="K110" s="2123"/>
      <c r="L110" s="2120"/>
      <c r="M110" s="1078"/>
      <c r="N110" s="1078"/>
      <c r="O110" s="1078"/>
    </row>
    <row r="111" spans="1:15" s="1091" customFormat="1" ht="27.75" customHeight="1">
      <c r="A111" s="1094"/>
      <c r="B111" s="1086" t="s">
        <v>462</v>
      </c>
      <c r="C111" s="1148" t="s">
        <v>527</v>
      </c>
      <c r="D111" s="1080">
        <v>5</v>
      </c>
      <c r="E111" s="1214">
        <v>5</v>
      </c>
      <c r="F111" s="1080">
        <v>5</v>
      </c>
      <c r="G111" s="1080">
        <v>5</v>
      </c>
      <c r="H111" s="1080">
        <v>5</v>
      </c>
      <c r="I111" s="1080">
        <v>5</v>
      </c>
      <c r="J111" s="1080">
        <v>4</v>
      </c>
      <c r="K111" s="1080">
        <v>3</v>
      </c>
      <c r="L111" s="1110"/>
      <c r="M111" s="1078"/>
      <c r="N111" s="1078"/>
      <c r="O111" s="1078"/>
    </row>
    <row r="112" spans="1:15" s="1091" customFormat="1" ht="14.25" customHeight="1">
      <c r="A112" s="1094"/>
      <c r="B112" s="2121" t="s">
        <v>457</v>
      </c>
      <c r="C112" s="2122"/>
      <c r="D112" s="1082">
        <v>97486.33</v>
      </c>
      <c r="E112" s="1080">
        <v>99042.7</v>
      </c>
      <c r="F112" s="1348">
        <f>I112*20%</f>
        <v>19808.540086020002</v>
      </c>
      <c r="G112" s="1348">
        <f>I112*45%</f>
        <v>44569.215193545002</v>
      </c>
      <c r="H112" s="1348">
        <f>I112*70%</f>
        <v>69329.890301069987</v>
      </c>
      <c r="I112" s="1082">
        <v>99042.700430099998</v>
      </c>
      <c r="J112" s="1082">
        <v>99042.720430100002</v>
      </c>
      <c r="K112" s="1082">
        <v>99042.720430100002</v>
      </c>
      <c r="L112" s="1110"/>
      <c r="M112" s="1078"/>
      <c r="N112" s="1078"/>
      <c r="O112" s="1078"/>
    </row>
    <row r="113" spans="1:15" s="1078" customFormat="1" ht="14.25" customHeight="1">
      <c r="A113" s="1128"/>
      <c r="B113" s="1347"/>
      <c r="C113" s="1310"/>
      <c r="D113" s="1200"/>
      <c r="E113" s="1201"/>
      <c r="F113" s="1200"/>
      <c r="G113" s="1200"/>
      <c r="H113" s="1200"/>
      <c r="I113" s="1340"/>
      <c r="J113" s="1128"/>
      <c r="K113" s="1128"/>
      <c r="L113" s="1128"/>
    </row>
    <row r="114" spans="1:15" s="1101" customFormat="1" ht="14.25">
      <c r="A114" s="1103"/>
      <c r="B114" s="1106" t="s">
        <v>487</v>
      </c>
      <c r="C114" s="1108" t="s">
        <v>486</v>
      </c>
      <c r="D114" s="1107"/>
      <c r="E114" s="1034"/>
      <c r="F114" s="1103"/>
      <c r="G114" s="1103"/>
      <c r="H114" s="1103"/>
      <c r="I114" s="1103"/>
      <c r="J114" s="1102"/>
      <c r="M114" s="1102"/>
      <c r="N114" s="1102"/>
      <c r="O114" s="1102"/>
    </row>
    <row r="115" spans="1:15" s="1101" customFormat="1" ht="25.5">
      <c r="A115" s="1103"/>
      <c r="B115" s="1106" t="s">
        <v>485</v>
      </c>
      <c r="C115" s="1099">
        <v>104006</v>
      </c>
      <c r="D115" s="1104"/>
      <c r="E115" s="1103"/>
      <c r="F115" s="1103"/>
      <c r="G115" s="1103"/>
      <c r="H115" s="1103"/>
      <c r="I115" s="1103"/>
      <c r="J115" s="1102"/>
      <c r="M115" s="1102"/>
      <c r="N115" s="1102"/>
      <c r="O115" s="1102"/>
    </row>
    <row r="116" spans="1:15" s="1101" customFormat="1">
      <c r="A116" s="1103"/>
      <c r="B116" s="1106" t="s">
        <v>484</v>
      </c>
      <c r="C116" s="1349" t="s">
        <v>454</v>
      </c>
      <c r="D116" s="1104"/>
      <c r="E116" s="1103"/>
      <c r="F116" s="1103"/>
      <c r="G116" s="1103"/>
      <c r="H116" s="1103"/>
      <c r="I116" s="1103"/>
      <c r="J116" s="1102"/>
      <c r="M116" s="1102"/>
      <c r="N116" s="1102"/>
      <c r="O116" s="1102"/>
    </row>
    <row r="117" spans="1:15" s="995" customFormat="1" ht="12" customHeight="1">
      <c r="A117" s="1034"/>
      <c r="B117" s="1098" t="s">
        <v>482</v>
      </c>
      <c r="C117" s="1100">
        <v>1071</v>
      </c>
      <c r="D117" s="2111" t="s">
        <v>481</v>
      </c>
      <c r="E117" s="2112"/>
      <c r="F117" s="2112"/>
      <c r="G117" s="2112"/>
      <c r="H117" s="2112"/>
      <c r="I117" s="2112"/>
      <c r="J117" s="2112"/>
      <c r="K117" s="2112"/>
      <c r="L117" s="2113"/>
      <c r="M117" s="1008"/>
      <c r="N117" s="1008"/>
      <c r="O117" s="1008"/>
    </row>
    <row r="118" spans="1:15" s="995" customFormat="1" ht="14.25" customHeight="1">
      <c r="A118" s="1034"/>
      <c r="B118" s="1098" t="s">
        <v>480</v>
      </c>
      <c r="C118" s="1099">
        <v>31001</v>
      </c>
      <c r="D118" s="2117" t="s">
        <v>479</v>
      </c>
      <c r="E118" s="2117" t="s">
        <v>478</v>
      </c>
      <c r="F118" s="2117" t="s">
        <v>477</v>
      </c>
      <c r="G118" s="2117" t="s">
        <v>476</v>
      </c>
      <c r="H118" s="2117" t="s">
        <v>475</v>
      </c>
      <c r="I118" s="2117" t="s">
        <v>445</v>
      </c>
      <c r="J118" s="2123" t="s">
        <v>474</v>
      </c>
      <c r="K118" s="2123" t="s">
        <v>473</v>
      </c>
      <c r="L118" s="2120" t="s">
        <v>472</v>
      </c>
      <c r="M118" s="1008"/>
      <c r="N118" s="1008"/>
      <c r="O118" s="1008"/>
    </row>
    <row r="119" spans="1:15" s="995" customFormat="1" ht="26.25" customHeight="1">
      <c r="A119" s="1034"/>
      <c r="B119" s="1098" t="s">
        <v>350</v>
      </c>
      <c r="C119" s="1350" t="s">
        <v>614</v>
      </c>
      <c r="D119" s="2118"/>
      <c r="E119" s="2118"/>
      <c r="F119" s="2118"/>
      <c r="G119" s="2118"/>
      <c r="H119" s="2118"/>
      <c r="I119" s="2118"/>
      <c r="J119" s="2123"/>
      <c r="K119" s="2123"/>
      <c r="L119" s="2120"/>
      <c r="M119" s="1008"/>
      <c r="N119" s="1008"/>
      <c r="O119" s="1008"/>
    </row>
    <row r="120" spans="1:15" s="1091" customFormat="1" ht="25.5" customHeight="1">
      <c r="A120" s="1094"/>
      <c r="B120" s="1090" t="s">
        <v>471</v>
      </c>
      <c r="C120" s="1123" t="s">
        <v>369</v>
      </c>
      <c r="D120" s="2118"/>
      <c r="E120" s="2118"/>
      <c r="F120" s="2118"/>
      <c r="G120" s="2118"/>
      <c r="H120" s="2118"/>
      <c r="I120" s="2118"/>
      <c r="J120" s="2123"/>
      <c r="K120" s="2123"/>
      <c r="L120" s="2120"/>
      <c r="M120" s="1078"/>
      <c r="N120" s="1078"/>
      <c r="O120" s="1078"/>
    </row>
    <row r="121" spans="1:15" s="1091" customFormat="1" ht="33" customHeight="1">
      <c r="A121" s="1094"/>
      <c r="B121" s="1096" t="s">
        <v>469</v>
      </c>
      <c r="C121" s="1156" t="s">
        <v>366</v>
      </c>
      <c r="D121" s="2118"/>
      <c r="E121" s="2118"/>
      <c r="F121" s="2118"/>
      <c r="G121" s="2118"/>
      <c r="H121" s="2118"/>
      <c r="I121" s="2118"/>
      <c r="J121" s="2123"/>
      <c r="K121" s="2123"/>
      <c r="L121" s="2120"/>
      <c r="M121" s="1078"/>
      <c r="N121" s="1078"/>
      <c r="O121" s="1078"/>
    </row>
    <row r="122" spans="1:15" s="1091" customFormat="1" ht="13.5" customHeight="1">
      <c r="A122" s="1094"/>
      <c r="B122" s="1093" t="s">
        <v>468</v>
      </c>
      <c r="C122" s="1349" t="s">
        <v>454</v>
      </c>
      <c r="D122" s="2118"/>
      <c r="E122" s="2118"/>
      <c r="F122" s="2118"/>
      <c r="G122" s="2118"/>
      <c r="H122" s="2118"/>
      <c r="I122" s="2118"/>
      <c r="J122" s="2123"/>
      <c r="K122" s="2123"/>
      <c r="L122" s="2120"/>
      <c r="M122" s="1078"/>
      <c r="N122" s="1078"/>
      <c r="O122" s="1078"/>
    </row>
    <row r="123" spans="1:15" s="1091" customFormat="1" ht="13.5" customHeight="1">
      <c r="A123" s="1094"/>
      <c r="B123" s="1090" t="s">
        <v>466</v>
      </c>
      <c r="C123" s="1090"/>
      <c r="D123" s="2119"/>
      <c r="E123" s="2119"/>
      <c r="F123" s="2119"/>
      <c r="G123" s="2119"/>
      <c r="H123" s="2119"/>
      <c r="I123" s="2119"/>
      <c r="J123" s="2123"/>
      <c r="K123" s="2123"/>
      <c r="L123" s="2120"/>
      <c r="M123" s="1078"/>
      <c r="N123" s="1078"/>
      <c r="O123" s="1078"/>
    </row>
    <row r="124" spans="1:15" s="1091" customFormat="1" ht="12.75" customHeight="1">
      <c r="A124" s="1094"/>
      <c r="B124" s="1086" t="s">
        <v>462</v>
      </c>
      <c r="C124" s="1148" t="s">
        <v>613</v>
      </c>
      <c r="D124" s="1080"/>
      <c r="E124" s="1080">
        <v>84</v>
      </c>
      <c r="F124" s="1080">
        <v>0</v>
      </c>
      <c r="G124" s="1080">
        <v>112</v>
      </c>
      <c r="H124" s="1080">
        <v>112</v>
      </c>
      <c r="I124" s="1080">
        <v>112</v>
      </c>
      <c r="J124" s="1080">
        <v>112</v>
      </c>
      <c r="K124" s="1080">
        <v>112</v>
      </c>
      <c r="L124" s="1110"/>
      <c r="M124" s="1078"/>
      <c r="N124" s="1078"/>
      <c r="O124" s="1078"/>
    </row>
    <row r="125" spans="1:15" s="1091" customFormat="1" ht="14.25" customHeight="1">
      <c r="A125" s="1094"/>
      <c r="B125" s="1086" t="s">
        <v>462</v>
      </c>
      <c r="C125" s="1148" t="s">
        <v>612</v>
      </c>
      <c r="D125" s="1080"/>
      <c r="E125" s="1080">
        <v>25</v>
      </c>
      <c r="F125" s="1080">
        <v>0</v>
      </c>
      <c r="G125" s="1080">
        <v>43</v>
      </c>
      <c r="H125" s="1080">
        <v>43</v>
      </c>
      <c r="I125" s="1080">
        <v>43</v>
      </c>
      <c r="J125" s="1080">
        <v>43</v>
      </c>
      <c r="K125" s="1080">
        <v>43</v>
      </c>
      <c r="L125" s="1110"/>
      <c r="M125" s="1078"/>
      <c r="N125" s="1078"/>
      <c r="O125" s="1078"/>
    </row>
    <row r="126" spans="1:15" s="1091" customFormat="1" ht="15.75" customHeight="1">
      <c r="A126" s="1094"/>
      <c r="B126" s="1086" t="s">
        <v>462</v>
      </c>
      <c r="C126" s="1148" t="s">
        <v>611</v>
      </c>
      <c r="D126" s="1080"/>
      <c r="E126" s="1080">
        <v>40</v>
      </c>
      <c r="F126" s="1080">
        <v>0</v>
      </c>
      <c r="G126" s="1080">
        <v>32</v>
      </c>
      <c r="H126" s="1080">
        <v>32</v>
      </c>
      <c r="I126" s="1080">
        <v>32</v>
      </c>
      <c r="J126" s="1080">
        <v>32</v>
      </c>
      <c r="K126" s="1080">
        <v>32</v>
      </c>
      <c r="L126" s="1110"/>
      <c r="M126" s="1078"/>
      <c r="N126" s="1078"/>
      <c r="O126" s="1078"/>
    </row>
    <row r="127" spans="1:15" s="1091" customFormat="1" ht="26.25" customHeight="1">
      <c r="A127" s="1094"/>
      <c r="B127" s="1085" t="s">
        <v>459</v>
      </c>
      <c r="C127" s="1084" t="s">
        <v>610</v>
      </c>
      <c r="D127" s="1080"/>
      <c r="E127" s="1080">
        <v>84</v>
      </c>
      <c r="F127" s="1080">
        <v>0</v>
      </c>
      <c r="G127" s="1080">
        <v>90</v>
      </c>
      <c r="H127" s="1080">
        <v>90</v>
      </c>
      <c r="I127" s="1080">
        <v>90</v>
      </c>
      <c r="J127" s="1080">
        <v>90</v>
      </c>
      <c r="K127" s="1080">
        <v>90</v>
      </c>
      <c r="L127" s="1110"/>
      <c r="M127" s="1078"/>
      <c r="N127" s="1078"/>
      <c r="O127" s="1078"/>
    </row>
    <row r="128" spans="1:15" s="1091" customFormat="1" ht="13.5" customHeight="1">
      <c r="A128" s="1094"/>
      <c r="B128" s="2121" t="s">
        <v>457</v>
      </c>
      <c r="C128" s="2122"/>
      <c r="D128" s="1082">
        <v>13698.3</v>
      </c>
      <c r="E128" s="1082">
        <v>15936.2</v>
      </c>
      <c r="F128" s="1348">
        <f>I128*20%</f>
        <v>3187.7198400000002</v>
      </c>
      <c r="G128" s="1348">
        <f>I128*45%</f>
        <v>7172.3696400000008</v>
      </c>
      <c r="H128" s="1348">
        <f>I128*70%</f>
        <v>11157.01944</v>
      </c>
      <c r="I128" s="1082">
        <v>15938.599200000001</v>
      </c>
      <c r="J128" s="1082">
        <v>15938.599200000001</v>
      </c>
      <c r="K128" s="1082">
        <v>15938.599200000001</v>
      </c>
      <c r="L128" s="1110"/>
      <c r="M128" s="1078"/>
      <c r="N128" s="1078"/>
      <c r="O128" s="1078"/>
    </row>
    <row r="129" spans="1:15" s="1078" customFormat="1" ht="13.5" hidden="1" customHeight="1">
      <c r="A129" s="1128"/>
      <c r="B129" s="1347"/>
      <c r="C129" s="1310"/>
      <c r="D129" s="1200"/>
      <c r="E129" s="1200"/>
      <c r="F129" s="1200"/>
      <c r="G129" s="1200"/>
      <c r="H129" s="1200"/>
      <c r="I129" s="1200"/>
      <c r="J129" s="1128"/>
      <c r="K129" s="1128"/>
      <c r="L129" s="1128"/>
    </row>
    <row r="130" spans="1:15" s="1101" customFormat="1" ht="14.25" hidden="1">
      <c r="A130" s="1103"/>
      <c r="B130" s="1106" t="s">
        <v>487</v>
      </c>
      <c r="C130" s="1108" t="s">
        <v>486</v>
      </c>
      <c r="D130" s="1107"/>
      <c r="E130" s="1034"/>
      <c r="F130" s="1103"/>
      <c r="G130" s="1103"/>
      <c r="H130" s="1103"/>
      <c r="I130" s="1103"/>
      <c r="J130" s="1103"/>
      <c r="K130" s="1103"/>
      <c r="L130" s="1345"/>
      <c r="M130" s="1104"/>
      <c r="N130" s="1102"/>
      <c r="O130" s="1102"/>
    </row>
    <row r="131" spans="1:15" s="1101" customFormat="1" ht="24" hidden="1" customHeight="1">
      <c r="A131" s="1103"/>
      <c r="B131" s="1106" t="s">
        <v>485</v>
      </c>
      <c r="C131" s="1099">
        <v>104006</v>
      </c>
      <c r="D131" s="1104"/>
      <c r="E131" s="1103"/>
      <c r="F131" s="1103"/>
      <c r="G131" s="1103"/>
      <c r="H131" s="1103"/>
      <c r="I131" s="1103"/>
      <c r="J131" s="1103"/>
      <c r="K131" s="1103"/>
      <c r="L131" s="1345"/>
      <c r="M131" s="1104"/>
      <c r="N131" s="1102"/>
      <c r="O131" s="1102"/>
    </row>
    <row r="132" spans="1:15" s="1101" customFormat="1" hidden="1">
      <c r="A132" s="1103"/>
      <c r="B132" s="1106" t="s">
        <v>484</v>
      </c>
      <c r="C132" s="1346" t="s">
        <v>606</v>
      </c>
      <c r="D132" s="1104"/>
      <c r="E132" s="1103"/>
      <c r="F132" s="1103"/>
      <c r="G132" s="1103"/>
      <c r="H132" s="1103"/>
      <c r="I132" s="1103"/>
      <c r="J132" s="1103"/>
      <c r="K132" s="1103"/>
      <c r="L132" s="1345"/>
      <c r="M132" s="1104"/>
      <c r="N132" s="1102"/>
      <c r="O132" s="1102"/>
    </row>
    <row r="133" spans="1:15" s="995" customFormat="1" ht="13.5" hidden="1" customHeight="1">
      <c r="A133" s="1034"/>
      <c r="B133" s="1098" t="s">
        <v>482</v>
      </c>
      <c r="C133" s="1100">
        <v>1071</v>
      </c>
      <c r="D133" s="2111" t="s">
        <v>481</v>
      </c>
      <c r="E133" s="2112"/>
      <c r="F133" s="2112"/>
      <c r="G133" s="2112"/>
      <c r="H133" s="2112"/>
      <c r="I133" s="2112"/>
      <c r="J133" s="2112"/>
      <c r="K133" s="2112"/>
      <c r="L133" s="2113"/>
      <c r="M133" s="1008"/>
      <c r="N133" s="1008"/>
      <c r="O133" s="1008"/>
    </row>
    <row r="134" spans="1:15" s="995" customFormat="1" ht="13.5" hidden="1" customHeight="1">
      <c r="A134" s="1034"/>
      <c r="B134" s="1098" t="s">
        <v>480</v>
      </c>
      <c r="C134" s="1099">
        <v>31002</v>
      </c>
      <c r="D134" s="2117" t="s">
        <v>479</v>
      </c>
      <c r="E134" s="2117" t="s">
        <v>478</v>
      </c>
      <c r="F134" s="2117" t="s">
        <v>477</v>
      </c>
      <c r="G134" s="2117" t="s">
        <v>476</v>
      </c>
      <c r="H134" s="2117" t="s">
        <v>475</v>
      </c>
      <c r="I134" s="2117" t="s">
        <v>445</v>
      </c>
      <c r="J134" s="2123" t="s">
        <v>474</v>
      </c>
      <c r="K134" s="2123" t="s">
        <v>473</v>
      </c>
      <c r="L134" s="2120" t="s">
        <v>472</v>
      </c>
      <c r="M134" s="1008"/>
      <c r="N134" s="1008"/>
      <c r="O134" s="1008"/>
    </row>
    <row r="135" spans="1:15" s="995" customFormat="1" ht="26.25" hidden="1" customHeight="1">
      <c r="A135" s="1034"/>
      <c r="B135" s="1098" t="s">
        <v>350</v>
      </c>
      <c r="C135" s="1125" t="s">
        <v>609</v>
      </c>
      <c r="D135" s="2118"/>
      <c r="E135" s="2118"/>
      <c r="F135" s="2118"/>
      <c r="G135" s="2118"/>
      <c r="H135" s="2118"/>
      <c r="I135" s="2118"/>
      <c r="J135" s="2123"/>
      <c r="K135" s="2123"/>
      <c r="L135" s="2120"/>
      <c r="M135" s="1008"/>
      <c r="N135" s="1008"/>
      <c r="O135" s="1008"/>
    </row>
    <row r="136" spans="1:15" s="1091" customFormat="1" ht="25.5" hidden="1" customHeight="1">
      <c r="A136" s="1094"/>
      <c r="B136" s="1090" t="s">
        <v>471</v>
      </c>
      <c r="C136" s="1203" t="s">
        <v>608</v>
      </c>
      <c r="D136" s="2118"/>
      <c r="E136" s="2118"/>
      <c r="F136" s="2118"/>
      <c r="G136" s="2118"/>
      <c r="H136" s="2118"/>
      <c r="I136" s="2118"/>
      <c r="J136" s="2123"/>
      <c r="K136" s="2123"/>
      <c r="L136" s="2120"/>
      <c r="M136" s="1078"/>
      <c r="N136" s="1078"/>
      <c r="O136" s="1078"/>
    </row>
    <row r="137" spans="1:15" s="1091" customFormat="1" ht="26.25" hidden="1" customHeight="1">
      <c r="A137" s="1094"/>
      <c r="B137" s="1096" t="s">
        <v>469</v>
      </c>
      <c r="C137" s="1149" t="s">
        <v>366</v>
      </c>
      <c r="D137" s="2118"/>
      <c r="E137" s="2118"/>
      <c r="F137" s="2118"/>
      <c r="G137" s="2118"/>
      <c r="H137" s="2118"/>
      <c r="I137" s="2118"/>
      <c r="J137" s="2123"/>
      <c r="K137" s="2123"/>
      <c r="L137" s="2120"/>
      <c r="M137" s="1078"/>
      <c r="N137" s="1078"/>
      <c r="O137" s="1078"/>
    </row>
    <row r="138" spans="1:15" s="1091" customFormat="1" ht="14.25" hidden="1" customHeight="1">
      <c r="A138" s="1094"/>
      <c r="B138" s="1093" t="s">
        <v>468</v>
      </c>
      <c r="C138" s="1124" t="s">
        <v>603</v>
      </c>
      <c r="D138" s="2118"/>
      <c r="E138" s="2118"/>
      <c r="F138" s="2118"/>
      <c r="G138" s="2118"/>
      <c r="H138" s="2118"/>
      <c r="I138" s="2118"/>
      <c r="J138" s="2123"/>
      <c r="K138" s="2123"/>
      <c r="L138" s="2120"/>
      <c r="M138" s="1078"/>
      <c r="N138" s="1078"/>
      <c r="O138" s="1078"/>
    </row>
    <row r="139" spans="1:15" s="1091" customFormat="1" ht="13.5" hidden="1" customHeight="1">
      <c r="A139" s="1094"/>
      <c r="B139" s="1090" t="s">
        <v>466</v>
      </c>
      <c r="C139" s="1090"/>
      <c r="D139" s="2119"/>
      <c r="E139" s="2119"/>
      <c r="F139" s="2119"/>
      <c r="G139" s="2119"/>
      <c r="H139" s="2119"/>
      <c r="I139" s="2119"/>
      <c r="J139" s="2123"/>
      <c r="K139" s="2123"/>
      <c r="L139" s="2120"/>
      <c r="M139" s="1078"/>
      <c r="N139" s="1078"/>
      <c r="O139" s="1078"/>
    </row>
    <row r="140" spans="1:15" s="1091" customFormat="1" ht="12.75" hidden="1" customHeight="1">
      <c r="A140" s="1094"/>
      <c r="B140" s="1086" t="s">
        <v>462</v>
      </c>
      <c r="C140" s="1148" t="s">
        <v>607</v>
      </c>
      <c r="D140" s="1080">
        <v>0</v>
      </c>
      <c r="E140" s="1147">
        <v>0</v>
      </c>
      <c r="F140" s="1121">
        <v>0</v>
      </c>
      <c r="G140" s="1121">
        <v>6</v>
      </c>
      <c r="H140" s="1121">
        <v>6</v>
      </c>
      <c r="I140" s="1121">
        <v>6</v>
      </c>
      <c r="J140" s="1147">
        <v>0</v>
      </c>
      <c r="K140" s="1147">
        <v>0</v>
      </c>
      <c r="L140" s="1343"/>
      <c r="M140" s="1078"/>
      <c r="N140" s="1078"/>
      <c r="O140" s="1078"/>
    </row>
    <row r="141" spans="1:15" s="1091" customFormat="1" ht="15" hidden="1" customHeight="1">
      <c r="A141" s="1094"/>
      <c r="B141" s="2121" t="s">
        <v>457</v>
      </c>
      <c r="C141" s="2122"/>
      <c r="D141" s="1080">
        <v>0</v>
      </c>
      <c r="E141" s="1121">
        <v>0</v>
      </c>
      <c r="F141" s="1342">
        <v>0</v>
      </c>
      <c r="G141" s="1342">
        <v>0</v>
      </c>
      <c r="H141" s="1342">
        <v>0</v>
      </c>
      <c r="I141" s="1342">
        <v>0</v>
      </c>
      <c r="J141" s="1147">
        <v>0</v>
      </c>
      <c r="K141" s="1147">
        <v>0</v>
      </c>
      <c r="L141" s="1341"/>
      <c r="M141" s="1078"/>
      <c r="N141" s="1078"/>
      <c r="O141" s="1078"/>
    </row>
    <row r="142" spans="1:15" s="1078" customFormat="1" ht="12.75" hidden="1" customHeight="1">
      <c r="A142" s="1128"/>
      <c r="B142" s="1153"/>
      <c r="C142" s="1153"/>
      <c r="D142" s="1152"/>
      <c r="E142" s="1151"/>
      <c r="F142" s="1151"/>
      <c r="G142" s="1151"/>
      <c r="H142" s="1151"/>
      <c r="I142" s="1150"/>
      <c r="J142" s="1150"/>
      <c r="K142" s="1152"/>
      <c r="L142" s="1152"/>
    </row>
    <row r="143" spans="1:15" s="1101" customFormat="1" ht="14.25" hidden="1">
      <c r="A143" s="1103"/>
      <c r="B143" s="1106" t="s">
        <v>487</v>
      </c>
      <c r="C143" s="1108" t="s">
        <v>486</v>
      </c>
      <c r="D143" s="1107"/>
      <c r="E143" s="1034"/>
      <c r="F143" s="1103"/>
      <c r="G143" s="1103"/>
      <c r="H143" s="1103"/>
      <c r="I143" s="1103"/>
      <c r="J143" s="1103"/>
      <c r="K143" s="1103"/>
      <c r="L143" s="1345"/>
      <c r="M143" s="1104"/>
      <c r="N143" s="1102"/>
      <c r="O143" s="1102"/>
    </row>
    <row r="144" spans="1:15" s="1101" customFormat="1" ht="24.75" hidden="1" customHeight="1">
      <c r="A144" s="1103"/>
      <c r="B144" s="1106" t="s">
        <v>485</v>
      </c>
      <c r="C144" s="1099">
        <v>104006</v>
      </c>
      <c r="D144" s="1104"/>
      <c r="E144" s="1103"/>
      <c r="F144" s="1103"/>
      <c r="G144" s="1103"/>
      <c r="H144" s="1103"/>
      <c r="I144" s="1103"/>
      <c r="J144" s="1103"/>
      <c r="K144" s="1103"/>
      <c r="L144" s="1345"/>
      <c r="M144" s="1104"/>
      <c r="N144" s="1102"/>
      <c r="O144" s="1102"/>
    </row>
    <row r="145" spans="1:15" s="1101" customFormat="1" hidden="1">
      <c r="A145" s="1103"/>
      <c r="B145" s="1106" t="s">
        <v>484</v>
      </c>
      <c r="C145" s="1346" t="s">
        <v>606</v>
      </c>
      <c r="D145" s="1104"/>
      <c r="E145" s="1103"/>
      <c r="F145" s="1103"/>
      <c r="G145" s="1103"/>
      <c r="H145" s="1103"/>
      <c r="I145" s="1103"/>
      <c r="J145" s="1103"/>
      <c r="K145" s="1103"/>
      <c r="L145" s="1345"/>
      <c r="M145" s="1104"/>
      <c r="N145" s="1102"/>
      <c r="O145" s="1102"/>
    </row>
    <row r="146" spans="1:15" s="995" customFormat="1" ht="13.5" hidden="1" customHeight="1">
      <c r="A146" s="1034"/>
      <c r="B146" s="1098" t="s">
        <v>482</v>
      </c>
      <c r="C146" s="1100">
        <v>1071</v>
      </c>
      <c r="D146" s="2111" t="s">
        <v>481</v>
      </c>
      <c r="E146" s="2112"/>
      <c r="F146" s="2112"/>
      <c r="G146" s="2112"/>
      <c r="H146" s="2112"/>
      <c r="I146" s="2112"/>
      <c r="J146" s="2112"/>
      <c r="K146" s="2112"/>
      <c r="L146" s="2113"/>
      <c r="M146" s="1008"/>
      <c r="N146" s="1008"/>
      <c r="O146" s="1008"/>
    </row>
    <row r="147" spans="1:15" s="995" customFormat="1" ht="13.5" hidden="1" customHeight="1">
      <c r="A147" s="1034"/>
      <c r="B147" s="1098" t="s">
        <v>480</v>
      </c>
      <c r="C147" s="1099">
        <v>31003</v>
      </c>
      <c r="D147" s="2117" t="s">
        <v>479</v>
      </c>
      <c r="E147" s="2117" t="s">
        <v>478</v>
      </c>
      <c r="F147" s="2117" t="s">
        <v>477</v>
      </c>
      <c r="G147" s="2117" t="s">
        <v>476</v>
      </c>
      <c r="H147" s="2117" t="s">
        <v>475</v>
      </c>
      <c r="I147" s="2117" t="s">
        <v>445</v>
      </c>
      <c r="J147" s="2123" t="s">
        <v>474</v>
      </c>
      <c r="K147" s="2123" t="s">
        <v>473</v>
      </c>
      <c r="L147" s="2120" t="s">
        <v>472</v>
      </c>
      <c r="M147" s="1008"/>
      <c r="N147" s="1008"/>
      <c r="O147" s="1008"/>
    </row>
    <row r="148" spans="1:15" s="995" customFormat="1" ht="24.75" hidden="1" customHeight="1">
      <c r="A148" s="1034"/>
      <c r="B148" s="1098" t="s">
        <v>350</v>
      </c>
      <c r="C148" s="1125" t="s">
        <v>605</v>
      </c>
      <c r="D148" s="2118"/>
      <c r="E148" s="2118"/>
      <c r="F148" s="2118"/>
      <c r="G148" s="2118"/>
      <c r="H148" s="2118"/>
      <c r="I148" s="2118"/>
      <c r="J148" s="2123"/>
      <c r="K148" s="2123"/>
      <c r="L148" s="2120"/>
      <c r="M148" s="1008"/>
      <c r="N148" s="1008"/>
      <c r="O148" s="1008"/>
    </row>
    <row r="149" spans="1:15" s="1091" customFormat="1" ht="25.5" hidden="1" customHeight="1">
      <c r="A149" s="1094"/>
      <c r="B149" s="1090" t="s">
        <v>471</v>
      </c>
      <c r="C149" s="1344" t="s">
        <v>604</v>
      </c>
      <c r="D149" s="2118"/>
      <c r="E149" s="2118"/>
      <c r="F149" s="2118"/>
      <c r="G149" s="2118"/>
      <c r="H149" s="2118"/>
      <c r="I149" s="2118"/>
      <c r="J149" s="2123"/>
      <c r="K149" s="2123"/>
      <c r="L149" s="2120"/>
      <c r="M149" s="1078"/>
      <c r="N149" s="1078"/>
      <c r="O149" s="1078"/>
    </row>
    <row r="150" spans="1:15" s="1091" customFormat="1" ht="25.5" hidden="1" customHeight="1">
      <c r="A150" s="1094"/>
      <c r="B150" s="1096" t="s">
        <v>469</v>
      </c>
      <c r="C150" s="1149" t="s">
        <v>366</v>
      </c>
      <c r="D150" s="2118"/>
      <c r="E150" s="2118"/>
      <c r="F150" s="2118"/>
      <c r="G150" s="2118"/>
      <c r="H150" s="2118"/>
      <c r="I150" s="2118"/>
      <c r="J150" s="2123"/>
      <c r="K150" s="2123"/>
      <c r="L150" s="2120"/>
      <c r="M150" s="1078"/>
      <c r="N150" s="1078"/>
      <c r="O150" s="1078"/>
    </row>
    <row r="151" spans="1:15" s="1091" customFormat="1" ht="23.25" hidden="1" customHeight="1">
      <c r="A151" s="1094"/>
      <c r="B151" s="1095" t="s">
        <v>521</v>
      </c>
      <c r="C151" s="1124" t="s">
        <v>603</v>
      </c>
      <c r="D151" s="2118"/>
      <c r="E151" s="2118"/>
      <c r="F151" s="2118"/>
      <c r="G151" s="2118"/>
      <c r="H151" s="2118"/>
      <c r="I151" s="2118"/>
      <c r="J151" s="2123"/>
      <c r="K151" s="2123"/>
      <c r="L151" s="2120"/>
      <c r="M151" s="1078"/>
      <c r="N151" s="1078"/>
      <c r="O151" s="1078"/>
    </row>
    <row r="152" spans="1:15" s="1091" customFormat="1" ht="12" hidden="1" customHeight="1">
      <c r="A152" s="1094"/>
      <c r="B152" s="1090" t="s">
        <v>466</v>
      </c>
      <c r="C152" s="1090"/>
      <c r="D152" s="2119"/>
      <c r="E152" s="2119"/>
      <c r="F152" s="2119"/>
      <c r="G152" s="2119"/>
      <c r="H152" s="2119"/>
      <c r="I152" s="2119"/>
      <c r="J152" s="2123"/>
      <c r="K152" s="2123"/>
      <c r="L152" s="2120"/>
      <c r="M152" s="1078"/>
      <c r="N152" s="1078"/>
      <c r="O152" s="1078"/>
    </row>
    <row r="153" spans="1:15" s="1091" customFormat="1" ht="14.25" hidden="1" customHeight="1">
      <c r="A153" s="1094"/>
      <c r="B153" s="1086" t="s">
        <v>462</v>
      </c>
      <c r="C153" s="1148" t="s">
        <v>602</v>
      </c>
      <c r="D153" s="1080">
        <v>0</v>
      </c>
      <c r="E153" s="1147">
        <v>0</v>
      </c>
      <c r="F153" s="1147">
        <v>0</v>
      </c>
      <c r="G153" s="1147">
        <v>1</v>
      </c>
      <c r="H153" s="1147">
        <v>1</v>
      </c>
      <c r="I153" s="1147">
        <v>1</v>
      </c>
      <c r="J153" s="1147">
        <v>0</v>
      </c>
      <c r="K153" s="1147">
        <v>0</v>
      </c>
      <c r="L153" s="1343"/>
      <c r="M153" s="1078"/>
      <c r="N153" s="1078"/>
      <c r="O153" s="1078"/>
    </row>
    <row r="154" spans="1:15" s="1091" customFormat="1" ht="12.75" hidden="1" customHeight="1">
      <c r="A154" s="1094"/>
      <c r="B154" s="1086" t="s">
        <v>462</v>
      </c>
      <c r="C154" s="1148" t="s">
        <v>601</v>
      </c>
      <c r="D154" s="1080">
        <v>0</v>
      </c>
      <c r="E154" s="1147">
        <v>0</v>
      </c>
      <c r="F154" s="1147">
        <v>0</v>
      </c>
      <c r="G154" s="1147">
        <v>1</v>
      </c>
      <c r="H154" s="1147">
        <v>1</v>
      </c>
      <c r="I154" s="1147">
        <v>1</v>
      </c>
      <c r="J154" s="1147">
        <v>0</v>
      </c>
      <c r="K154" s="1147">
        <v>0</v>
      </c>
      <c r="L154" s="1343"/>
      <c r="M154" s="1078"/>
      <c r="N154" s="1078"/>
      <c r="O154" s="1078"/>
    </row>
    <row r="155" spans="1:15" s="1091" customFormat="1" ht="14.25" hidden="1" customHeight="1">
      <c r="A155" s="1094"/>
      <c r="B155" s="1086" t="s">
        <v>462</v>
      </c>
      <c r="C155" s="1148" t="s">
        <v>600</v>
      </c>
      <c r="D155" s="1080">
        <v>0</v>
      </c>
      <c r="E155" s="1147">
        <v>0</v>
      </c>
      <c r="F155" s="1147">
        <v>0</v>
      </c>
      <c r="G155" s="1147">
        <v>7</v>
      </c>
      <c r="H155" s="1147">
        <v>7</v>
      </c>
      <c r="I155" s="1147">
        <v>7</v>
      </c>
      <c r="J155" s="1147">
        <v>0</v>
      </c>
      <c r="K155" s="1147">
        <v>0</v>
      </c>
      <c r="L155" s="1343"/>
      <c r="M155" s="1078"/>
      <c r="N155" s="1078"/>
      <c r="O155" s="1078"/>
    </row>
    <row r="156" spans="1:15" s="1091" customFormat="1" ht="19.5" hidden="1" customHeight="1">
      <c r="A156" s="1094"/>
      <c r="B156" s="2121" t="s">
        <v>457</v>
      </c>
      <c r="C156" s="2122"/>
      <c r="D156" s="1080">
        <v>0</v>
      </c>
      <c r="E156" s="1121">
        <v>0</v>
      </c>
      <c r="F156" s="1342">
        <v>0</v>
      </c>
      <c r="G156" s="1147">
        <v>0</v>
      </c>
      <c r="H156" s="1147">
        <v>0</v>
      </c>
      <c r="I156" s="1147">
        <v>0</v>
      </c>
      <c r="J156" s="1147">
        <v>0</v>
      </c>
      <c r="K156" s="1147">
        <v>0</v>
      </c>
      <c r="L156" s="1341"/>
      <c r="M156" s="1078"/>
      <c r="N156" s="1078"/>
      <c r="O156" s="1078"/>
    </row>
    <row r="157" spans="1:15" s="995" customFormat="1" ht="48.75" customHeight="1">
      <c r="A157" s="1034"/>
      <c r="D157" s="1008"/>
      <c r="J157" s="1008"/>
      <c r="M157" s="1008"/>
      <c r="N157" s="1008"/>
      <c r="O157" s="1008"/>
    </row>
    <row r="158" spans="1:15" s="1078" customFormat="1" ht="9.75" customHeight="1">
      <c r="A158" s="1128"/>
      <c r="B158" s="1202"/>
      <c r="C158" s="1202"/>
      <c r="D158" s="1201"/>
      <c r="E158" s="1201"/>
      <c r="F158" s="1201"/>
      <c r="G158" s="1201"/>
      <c r="H158" s="1200"/>
      <c r="I158" s="1340"/>
    </row>
    <row r="159" spans="1:15" s="995" customFormat="1" ht="14.25" customHeight="1">
      <c r="A159" s="1034"/>
      <c r="B159" s="1098" t="s">
        <v>494</v>
      </c>
      <c r="C159" s="1098" t="s">
        <v>493</v>
      </c>
      <c r="D159" s="1008"/>
      <c r="J159" s="1008"/>
      <c r="M159" s="1008"/>
      <c r="N159" s="1008"/>
      <c r="O159" s="1008"/>
    </row>
    <row r="160" spans="1:15" s="995" customFormat="1" ht="15" customHeight="1">
      <c r="A160" s="1034"/>
      <c r="B160" s="1339">
        <v>1133</v>
      </c>
      <c r="C160" s="1338" t="s">
        <v>419</v>
      </c>
      <c r="D160" s="1008"/>
      <c r="J160" s="1008"/>
      <c r="M160" s="1008"/>
      <c r="N160" s="1008"/>
      <c r="O160" s="1008"/>
    </row>
    <row r="161" spans="1:15" s="995" customFormat="1" ht="8.25" customHeight="1">
      <c r="A161" s="1034"/>
      <c r="D161" s="1008"/>
      <c r="J161" s="1008"/>
      <c r="M161" s="1008"/>
      <c r="N161" s="1008"/>
      <c r="O161" s="1008"/>
    </row>
    <row r="162" spans="1:15" s="1321" customFormat="1" ht="12" customHeight="1">
      <c r="A162" s="1323"/>
      <c r="B162" s="1337" t="s">
        <v>492</v>
      </c>
      <c r="D162" s="1322"/>
      <c r="J162" s="1322"/>
      <c r="M162" s="1322"/>
      <c r="N162" s="1322"/>
      <c r="O162" s="1322"/>
    </row>
    <row r="163" spans="1:15" s="1321" customFormat="1" ht="6.75" customHeight="1">
      <c r="A163" s="1323"/>
      <c r="D163" s="1322"/>
      <c r="J163" s="1322"/>
      <c r="M163" s="1322"/>
      <c r="N163" s="1322"/>
      <c r="O163" s="1322"/>
    </row>
    <row r="164" spans="1:15" s="1330" customFormat="1" ht="14.25" customHeight="1">
      <c r="A164" s="1336"/>
      <c r="B164" s="1335" t="s">
        <v>487</v>
      </c>
      <c r="C164" s="1328" t="s">
        <v>486</v>
      </c>
      <c r="D164" s="1128"/>
      <c r="E164" s="1094"/>
      <c r="F164" s="1333"/>
      <c r="G164" s="1333"/>
      <c r="H164" s="1333"/>
      <c r="I164" s="1333"/>
      <c r="J164" s="1331"/>
      <c r="M164" s="1331"/>
      <c r="N164" s="1331"/>
      <c r="O164" s="1331"/>
    </row>
    <row r="165" spans="1:15" s="1330" customFormat="1" ht="25.5" customHeight="1">
      <c r="A165" s="1336"/>
      <c r="B165" s="1335" t="s">
        <v>485</v>
      </c>
      <c r="C165" s="1223">
        <v>104006</v>
      </c>
      <c r="D165" s="1332"/>
      <c r="E165" s="1333"/>
      <c r="F165" s="1333"/>
      <c r="G165" s="1333"/>
      <c r="H165" s="1333"/>
      <c r="I165" s="1332"/>
      <c r="J165" s="1331"/>
      <c r="K165" s="1331"/>
      <c r="M165" s="1331"/>
      <c r="N165" s="1331"/>
      <c r="O165" s="1331"/>
    </row>
    <row r="166" spans="1:15" s="1330" customFormat="1" ht="12.75" customHeight="1">
      <c r="A166" s="1336"/>
      <c r="B166" s="1335" t="s">
        <v>484</v>
      </c>
      <c r="C166" s="1334" t="s">
        <v>599</v>
      </c>
      <c r="D166" s="1332"/>
      <c r="E166" s="1333"/>
      <c r="F166" s="1333"/>
      <c r="G166" s="1333"/>
      <c r="H166" s="1333"/>
      <c r="I166" s="1332"/>
      <c r="J166" s="1331"/>
      <c r="K166" s="1331"/>
      <c r="M166" s="1331"/>
      <c r="N166" s="1331"/>
      <c r="O166" s="1331"/>
    </row>
    <row r="167" spans="1:15" s="1321" customFormat="1" ht="13.5" customHeight="1">
      <c r="A167" s="1323"/>
      <c r="B167" s="1090" t="s">
        <v>482</v>
      </c>
      <c r="C167" s="1329">
        <v>1133</v>
      </c>
      <c r="D167" s="2111" t="s">
        <v>481</v>
      </c>
      <c r="E167" s="2112"/>
      <c r="F167" s="2112"/>
      <c r="G167" s="2112"/>
      <c r="H167" s="2112"/>
      <c r="I167" s="2112"/>
      <c r="J167" s="2112"/>
      <c r="K167" s="2112"/>
      <c r="L167" s="2113"/>
      <c r="M167" s="1322"/>
      <c r="N167" s="1322"/>
      <c r="O167" s="1322"/>
    </row>
    <row r="168" spans="1:15" s="1321" customFormat="1" ht="12.75" customHeight="1">
      <c r="A168" s="1323"/>
      <c r="B168" s="1090" t="s">
        <v>480</v>
      </c>
      <c r="C168" s="1223">
        <v>12001</v>
      </c>
      <c r="D168" s="2117" t="s">
        <v>479</v>
      </c>
      <c r="E168" s="2117" t="s">
        <v>478</v>
      </c>
      <c r="F168" s="2117" t="s">
        <v>477</v>
      </c>
      <c r="G168" s="2117" t="s">
        <v>476</v>
      </c>
      <c r="H168" s="2117" t="s">
        <v>475</v>
      </c>
      <c r="I168" s="2117" t="s">
        <v>598</v>
      </c>
      <c r="J168" s="2123" t="s">
        <v>597</v>
      </c>
      <c r="K168" s="2123" t="s">
        <v>596</v>
      </c>
      <c r="L168" s="2120" t="s">
        <v>472</v>
      </c>
      <c r="M168" s="1322"/>
      <c r="N168" s="1322"/>
      <c r="O168" s="1322"/>
    </row>
    <row r="169" spans="1:15" s="1321" customFormat="1" ht="15.75" customHeight="1">
      <c r="A169" s="1323"/>
      <c r="B169" s="1090" t="s">
        <v>350</v>
      </c>
      <c r="C169" s="1139" t="s">
        <v>416</v>
      </c>
      <c r="D169" s="2118"/>
      <c r="E169" s="2118"/>
      <c r="F169" s="2118"/>
      <c r="G169" s="2118"/>
      <c r="H169" s="2118"/>
      <c r="I169" s="2118"/>
      <c r="J169" s="2123"/>
      <c r="K169" s="2123"/>
      <c r="L169" s="2120"/>
      <c r="M169" s="1322"/>
      <c r="N169" s="1322"/>
      <c r="O169" s="1322"/>
    </row>
    <row r="170" spans="1:15" s="1321" customFormat="1" ht="51" customHeight="1">
      <c r="A170" s="1323"/>
      <c r="B170" s="1090" t="s">
        <v>471</v>
      </c>
      <c r="C170" s="1139" t="s">
        <v>415</v>
      </c>
      <c r="D170" s="2118"/>
      <c r="E170" s="2118"/>
      <c r="F170" s="2118"/>
      <c r="G170" s="2118"/>
      <c r="H170" s="2118"/>
      <c r="I170" s="2118"/>
      <c r="J170" s="2123"/>
      <c r="K170" s="2123"/>
      <c r="L170" s="2120"/>
      <c r="M170" s="1322"/>
      <c r="N170" s="1322"/>
      <c r="O170" s="1322"/>
    </row>
    <row r="171" spans="1:15" s="1321" customFormat="1" ht="16.5" customHeight="1">
      <c r="A171" s="1323"/>
      <c r="B171" s="1096" t="s">
        <v>469</v>
      </c>
      <c r="C171" s="1139" t="s">
        <v>387</v>
      </c>
      <c r="D171" s="2118"/>
      <c r="E171" s="2118"/>
      <c r="F171" s="2118"/>
      <c r="G171" s="2118"/>
      <c r="H171" s="2118"/>
      <c r="I171" s="2118"/>
      <c r="J171" s="2123"/>
      <c r="K171" s="2123"/>
      <c r="L171" s="2120"/>
      <c r="M171" s="1322"/>
      <c r="N171" s="1322"/>
      <c r="O171" s="1322"/>
    </row>
    <row r="172" spans="1:15" s="1321" customFormat="1" ht="27" customHeight="1">
      <c r="A172" s="1323"/>
      <c r="B172" s="1328" t="s">
        <v>546</v>
      </c>
      <c r="C172" s="1139" t="s">
        <v>595</v>
      </c>
      <c r="D172" s="2118"/>
      <c r="E172" s="2118"/>
      <c r="F172" s="2118"/>
      <c r="G172" s="2118"/>
      <c r="H172" s="2118"/>
      <c r="I172" s="2118"/>
      <c r="J172" s="2123"/>
      <c r="K172" s="2123"/>
      <c r="L172" s="2120"/>
      <c r="M172" s="1322"/>
      <c r="N172" s="1322"/>
      <c r="O172" s="1322"/>
    </row>
    <row r="173" spans="1:15" s="1321" customFormat="1" ht="12" customHeight="1">
      <c r="A173" s="1323"/>
      <c r="B173" s="1090" t="s">
        <v>466</v>
      </c>
      <c r="C173" s="1090"/>
      <c r="D173" s="2119"/>
      <c r="E173" s="2119"/>
      <c r="F173" s="2119"/>
      <c r="G173" s="2119"/>
      <c r="H173" s="2119"/>
      <c r="I173" s="2119"/>
      <c r="J173" s="2123"/>
      <c r="K173" s="2123"/>
      <c r="L173" s="2120"/>
      <c r="M173" s="1322"/>
      <c r="N173" s="1322"/>
      <c r="O173" s="1322"/>
    </row>
    <row r="174" spans="1:15" s="1321" customFormat="1" ht="13.5" customHeight="1">
      <c r="A174" s="1323"/>
      <c r="B174" s="1120" t="s">
        <v>462</v>
      </c>
      <c r="C174" s="1327" t="s">
        <v>594</v>
      </c>
      <c r="D174" s="1080">
        <v>13</v>
      </c>
      <c r="E174" s="1082">
        <f>F174*75%</f>
        <v>9.75</v>
      </c>
      <c r="F174" s="1082">
        <v>13</v>
      </c>
      <c r="G174" s="1082">
        <v>13</v>
      </c>
      <c r="H174" s="1082">
        <v>13</v>
      </c>
      <c r="I174" s="1082">
        <v>13</v>
      </c>
      <c r="J174" s="1082">
        <v>13</v>
      </c>
      <c r="K174" s="1082">
        <v>13</v>
      </c>
      <c r="L174" s="1324"/>
      <c r="M174" s="1322"/>
      <c r="N174" s="1322"/>
      <c r="O174" s="1322"/>
    </row>
    <row r="175" spans="1:15" s="1321" customFormat="1" ht="13.5" customHeight="1">
      <c r="A175" s="1323"/>
      <c r="B175" s="1120" t="s">
        <v>462</v>
      </c>
      <c r="C175" s="1327" t="s">
        <v>593</v>
      </c>
      <c r="D175" s="1080">
        <v>8</v>
      </c>
      <c r="E175" s="1082">
        <f>F175*75%</f>
        <v>0</v>
      </c>
      <c r="F175" s="1082">
        <f>G175*75%</f>
        <v>0</v>
      </c>
      <c r="G175" s="1082">
        <f>H175*75%</f>
        <v>0</v>
      </c>
      <c r="H175" s="1082">
        <f>I175*75%</f>
        <v>0</v>
      </c>
      <c r="I175" s="1082">
        <f>J175*75%</f>
        <v>0</v>
      </c>
      <c r="J175" s="1326"/>
      <c r="K175" s="1324"/>
      <c r="L175" s="1324"/>
      <c r="M175" s="1322"/>
      <c r="N175" s="1322"/>
      <c r="O175" s="1322"/>
    </row>
    <row r="176" spans="1:15" s="1321" customFormat="1" ht="13.5" customHeight="1">
      <c r="A176" s="1323"/>
      <c r="B176" s="2121" t="s">
        <v>457</v>
      </c>
      <c r="C176" s="2122"/>
      <c r="D176" s="1325">
        <v>149471.35999999999</v>
      </c>
      <c r="E176" s="1082">
        <v>0</v>
      </c>
      <c r="F176" s="1188">
        <f>I176*20%</f>
        <v>126791</v>
      </c>
      <c r="G176" s="1188">
        <f>I176*45%</f>
        <v>285279.75</v>
      </c>
      <c r="H176" s="1188">
        <f>I176*70%</f>
        <v>443768.5</v>
      </c>
      <c r="I176" s="1082">
        <v>633955</v>
      </c>
      <c r="J176" s="1082">
        <v>65193.4</v>
      </c>
      <c r="K176" s="1082">
        <v>7613.6</v>
      </c>
      <c r="L176" s="1324"/>
      <c r="M176" s="1322"/>
      <c r="N176" s="1322"/>
      <c r="O176" s="1322"/>
    </row>
    <row r="177" spans="1:15" s="1321" customFormat="1" ht="42.75" customHeight="1">
      <c r="A177" s="1323"/>
      <c r="B177" s="2139" t="s">
        <v>592</v>
      </c>
      <c r="C177" s="2139"/>
      <c r="D177" s="2139"/>
      <c r="E177" s="2139"/>
      <c r="F177" s="2139"/>
      <c r="G177" s="2139"/>
      <c r="H177" s="2139"/>
      <c r="I177" s="2139"/>
      <c r="J177" s="2139"/>
      <c r="K177" s="2139"/>
      <c r="M177" s="1322"/>
      <c r="N177" s="1322"/>
      <c r="O177" s="1322"/>
    </row>
    <row r="178" spans="1:15" s="1008" customFormat="1" ht="25.5" customHeight="1">
      <c r="A178" s="1107"/>
      <c r="B178" s="1320"/>
      <c r="C178" s="1319"/>
      <c r="D178" s="1318"/>
      <c r="E178" s="1318"/>
      <c r="F178" s="1318"/>
      <c r="G178" s="1318"/>
      <c r="H178" s="1318"/>
      <c r="I178" s="1318"/>
    </row>
    <row r="179" spans="1:15">
      <c r="B179" s="1317" t="s">
        <v>494</v>
      </c>
      <c r="C179" s="1317" t="s">
        <v>493</v>
      </c>
      <c r="D179" s="1061"/>
      <c r="E179" s="1061"/>
      <c r="F179" s="1061"/>
      <c r="G179" s="1061"/>
      <c r="H179" s="1061"/>
      <c r="I179" s="1061"/>
    </row>
    <row r="180" spans="1:15" ht="27.75" customHeight="1">
      <c r="B180" s="1171">
        <v>1155</v>
      </c>
      <c r="C180" s="1171" t="s">
        <v>414</v>
      </c>
      <c r="D180" s="1061"/>
      <c r="E180" s="1061"/>
      <c r="F180" s="1061"/>
      <c r="G180" s="1061"/>
      <c r="H180" s="1061"/>
      <c r="I180" s="1061"/>
    </row>
    <row r="181" spans="1:15" ht="4.5" customHeight="1">
      <c r="B181" s="1316"/>
      <c r="C181" s="1061"/>
      <c r="D181" s="1061"/>
      <c r="E181" s="1061"/>
      <c r="F181" s="1061"/>
      <c r="G181" s="1061"/>
      <c r="H181" s="1061"/>
      <c r="I181" s="1061"/>
    </row>
    <row r="182" spans="1:15">
      <c r="B182" s="1297" t="s">
        <v>492</v>
      </c>
      <c r="C182" s="1061"/>
      <c r="D182" s="1061"/>
      <c r="E182" s="1061"/>
      <c r="F182" s="1061"/>
      <c r="G182" s="1061"/>
      <c r="H182" s="1061"/>
      <c r="I182" s="1061"/>
    </row>
    <row r="183" spans="1:15" ht="6" customHeight="1">
      <c r="B183" s="1297"/>
      <c r="C183" s="1061"/>
      <c r="D183" s="1061"/>
      <c r="E183" s="1061"/>
      <c r="F183" s="1061"/>
      <c r="G183" s="1061"/>
      <c r="H183" s="1061"/>
      <c r="I183" s="1061"/>
    </row>
    <row r="184" spans="1:15" s="1101" customFormat="1" ht="14.25" customHeight="1">
      <c r="A184" s="1103"/>
      <c r="B184" s="1106" t="s">
        <v>487</v>
      </c>
      <c r="C184" s="1108" t="s">
        <v>486</v>
      </c>
      <c r="D184" s="1107"/>
      <c r="E184" s="1034"/>
      <c r="F184" s="1103"/>
      <c r="G184" s="1103"/>
      <c r="H184" s="1103"/>
      <c r="I184" s="1103"/>
      <c r="J184" s="1102"/>
      <c r="M184" s="1102"/>
      <c r="N184" s="1102"/>
      <c r="O184" s="1102"/>
    </row>
    <row r="185" spans="1:15" s="1101" customFormat="1" ht="25.5">
      <c r="A185" s="1103"/>
      <c r="B185" s="1106" t="s">
        <v>485</v>
      </c>
      <c r="C185" s="1099">
        <v>104006</v>
      </c>
      <c r="D185" s="1104"/>
      <c r="E185" s="1103"/>
      <c r="F185" s="1103"/>
      <c r="G185" s="1103"/>
      <c r="H185" s="1103"/>
      <c r="I185" s="1103"/>
      <c r="J185" s="1102"/>
      <c r="M185" s="1102"/>
      <c r="N185" s="1102"/>
      <c r="O185" s="1102"/>
    </row>
    <row r="186" spans="1:15" s="1101" customFormat="1">
      <c r="A186" s="1103"/>
      <c r="B186" s="1106" t="s">
        <v>484</v>
      </c>
      <c r="C186" s="1126" t="s">
        <v>454</v>
      </c>
      <c r="D186" s="1104"/>
      <c r="E186" s="1103"/>
      <c r="F186" s="1103"/>
      <c r="G186" s="1103"/>
      <c r="H186" s="1103"/>
      <c r="I186" s="1103"/>
      <c r="J186" s="1102"/>
      <c r="M186" s="1102"/>
      <c r="N186" s="1102"/>
      <c r="O186" s="1102"/>
    </row>
    <row r="187" spans="1:15" s="995" customFormat="1" ht="12.75" customHeight="1">
      <c r="A187" s="1034"/>
      <c r="B187" s="1098" t="s">
        <v>482</v>
      </c>
      <c r="C187" s="1100">
        <v>1155</v>
      </c>
      <c r="D187" s="2111" t="s">
        <v>481</v>
      </c>
      <c r="E187" s="2112"/>
      <c r="F187" s="2112"/>
      <c r="G187" s="2112"/>
      <c r="H187" s="2112"/>
      <c r="I187" s="2112"/>
      <c r="J187" s="2112"/>
      <c r="K187" s="2112"/>
      <c r="L187" s="2113"/>
      <c r="M187" s="1008"/>
      <c r="N187" s="1008"/>
      <c r="O187" s="1008"/>
    </row>
    <row r="188" spans="1:15" s="995" customFormat="1" ht="12.75" customHeight="1">
      <c r="A188" s="1034"/>
      <c r="B188" s="1098" t="s">
        <v>480</v>
      </c>
      <c r="C188" s="1223">
        <v>11001</v>
      </c>
      <c r="D188" s="2117" t="s">
        <v>479</v>
      </c>
      <c r="E188" s="2117" t="s">
        <v>478</v>
      </c>
      <c r="F188" s="2117" t="s">
        <v>477</v>
      </c>
      <c r="G188" s="2117" t="s">
        <v>476</v>
      </c>
      <c r="H188" s="2117" t="s">
        <v>475</v>
      </c>
      <c r="I188" s="2117" t="s">
        <v>445</v>
      </c>
      <c r="J188" s="2123" t="s">
        <v>474</v>
      </c>
      <c r="K188" s="2123" t="s">
        <v>473</v>
      </c>
      <c r="L188" s="2120"/>
      <c r="M188" s="1008"/>
      <c r="N188" s="1008"/>
      <c r="O188" s="1008"/>
    </row>
    <row r="189" spans="1:15" s="995" customFormat="1" ht="52.5" customHeight="1">
      <c r="A189" s="1034"/>
      <c r="B189" s="1098" t="s">
        <v>350</v>
      </c>
      <c r="C189" s="1315" t="s">
        <v>411</v>
      </c>
      <c r="D189" s="2118"/>
      <c r="E189" s="2118"/>
      <c r="F189" s="2118"/>
      <c r="G189" s="2118"/>
      <c r="H189" s="2118"/>
      <c r="I189" s="2118"/>
      <c r="J189" s="2123"/>
      <c r="K189" s="2123"/>
      <c r="L189" s="2120"/>
      <c r="M189" s="1008"/>
      <c r="N189" s="1008"/>
      <c r="O189" s="1008"/>
    </row>
    <row r="190" spans="1:15" s="1091" customFormat="1" ht="55.5" customHeight="1">
      <c r="A190" s="1094"/>
      <c r="B190" s="1090" t="s">
        <v>471</v>
      </c>
      <c r="C190" s="1314" t="s">
        <v>591</v>
      </c>
      <c r="D190" s="2118"/>
      <c r="E190" s="2118"/>
      <c r="F190" s="2118"/>
      <c r="G190" s="2118"/>
      <c r="H190" s="2118"/>
      <c r="I190" s="2118"/>
      <c r="J190" s="2123"/>
      <c r="K190" s="2123"/>
      <c r="L190" s="2120"/>
      <c r="M190" s="1078"/>
      <c r="N190" s="1078"/>
      <c r="O190" s="1078"/>
    </row>
    <row r="191" spans="1:15" s="1091" customFormat="1" ht="15" customHeight="1">
      <c r="A191" s="1094"/>
      <c r="B191" s="1096" t="s">
        <v>469</v>
      </c>
      <c r="C191" s="1095" t="s">
        <v>345</v>
      </c>
      <c r="D191" s="2118"/>
      <c r="E191" s="2118"/>
      <c r="F191" s="2118"/>
      <c r="G191" s="2118"/>
      <c r="H191" s="2118"/>
      <c r="I191" s="2118"/>
      <c r="J191" s="2123"/>
      <c r="K191" s="2123"/>
      <c r="L191" s="2120"/>
      <c r="M191" s="1078"/>
      <c r="N191" s="1078"/>
      <c r="O191" s="1078"/>
    </row>
    <row r="192" spans="1:15" s="1091" customFormat="1" ht="13.5" customHeight="1">
      <c r="A192" s="1094"/>
      <c r="B192" s="1093" t="s">
        <v>468</v>
      </c>
      <c r="C192" s="1123" t="s">
        <v>590</v>
      </c>
      <c r="D192" s="2118"/>
      <c r="E192" s="2118"/>
      <c r="F192" s="2118"/>
      <c r="G192" s="2118"/>
      <c r="H192" s="2118"/>
      <c r="I192" s="2118"/>
      <c r="J192" s="2123"/>
      <c r="K192" s="2123"/>
      <c r="L192" s="2120"/>
      <c r="M192" s="1078"/>
      <c r="N192" s="1078"/>
      <c r="O192" s="1078"/>
    </row>
    <row r="193" spans="1:15" s="1091" customFormat="1" ht="12.75" customHeight="1">
      <c r="A193" s="1094"/>
      <c r="B193" s="1090" t="s">
        <v>466</v>
      </c>
      <c r="C193" s="1090"/>
      <c r="D193" s="2119"/>
      <c r="E193" s="2119"/>
      <c r="F193" s="2119"/>
      <c r="G193" s="2119"/>
      <c r="H193" s="2119"/>
      <c r="I193" s="2119"/>
      <c r="J193" s="2123"/>
      <c r="K193" s="2123"/>
      <c r="L193" s="2120"/>
      <c r="M193" s="1078"/>
      <c r="N193" s="1078"/>
      <c r="O193" s="1078"/>
    </row>
    <row r="194" spans="1:15" s="1091" customFormat="1" ht="39.75" customHeight="1">
      <c r="A194" s="1094"/>
      <c r="B194" s="1216" t="s">
        <v>462</v>
      </c>
      <c r="C194" s="1312" t="s">
        <v>589</v>
      </c>
      <c r="D194" s="1080"/>
      <c r="E194" s="1080">
        <v>3</v>
      </c>
      <c r="F194" s="1080">
        <v>0</v>
      </c>
      <c r="G194" s="1080">
        <v>0</v>
      </c>
      <c r="H194" s="1080">
        <v>0</v>
      </c>
      <c r="I194" s="1080">
        <v>0</v>
      </c>
      <c r="J194" s="1146"/>
      <c r="K194" s="1110"/>
      <c r="L194" s="1311">
        <v>2021</v>
      </c>
      <c r="M194" s="1078"/>
      <c r="N194" s="1078"/>
      <c r="O194" s="1078"/>
    </row>
    <row r="195" spans="1:15" s="1091" customFormat="1" ht="40.5" customHeight="1">
      <c r="A195" s="1094"/>
      <c r="B195" s="1216" t="s">
        <v>462</v>
      </c>
      <c r="C195" s="1312" t="s">
        <v>588</v>
      </c>
      <c r="D195" s="1080"/>
      <c r="E195" s="1080">
        <v>5</v>
      </c>
      <c r="F195" s="1080">
        <v>0</v>
      </c>
      <c r="G195" s="1080">
        <v>0</v>
      </c>
      <c r="H195" s="1080">
        <v>0</v>
      </c>
      <c r="I195" s="1080">
        <v>0</v>
      </c>
      <c r="J195" s="1146"/>
      <c r="K195" s="1110"/>
      <c r="L195" s="1311">
        <v>2021</v>
      </c>
      <c r="M195" s="1078"/>
      <c r="N195" s="1078"/>
      <c r="O195" s="1078"/>
    </row>
    <row r="196" spans="1:15" s="1091" customFormat="1" ht="38.25" customHeight="1">
      <c r="A196" s="1094"/>
      <c r="B196" s="1216" t="s">
        <v>462</v>
      </c>
      <c r="C196" s="1312" t="s">
        <v>587</v>
      </c>
      <c r="D196" s="1080"/>
      <c r="E196" s="1080">
        <v>1</v>
      </c>
      <c r="F196" s="1080">
        <v>0</v>
      </c>
      <c r="G196" s="1080">
        <v>0</v>
      </c>
      <c r="H196" s="1080">
        <v>0</v>
      </c>
      <c r="I196" s="1080">
        <v>0</v>
      </c>
      <c r="J196" s="1146"/>
      <c r="K196" s="1110"/>
      <c r="L196" s="1311">
        <v>2021</v>
      </c>
      <c r="M196" s="1078"/>
      <c r="N196" s="1078"/>
      <c r="O196" s="1078"/>
    </row>
    <row r="197" spans="1:15" s="1091" customFormat="1" ht="26.25" customHeight="1">
      <c r="A197" s="1094"/>
      <c r="B197" s="1216" t="s">
        <v>462</v>
      </c>
      <c r="C197" s="1312" t="s">
        <v>586</v>
      </c>
      <c r="D197" s="1080"/>
      <c r="E197" s="1080">
        <v>1</v>
      </c>
      <c r="F197" s="1080">
        <v>0</v>
      </c>
      <c r="G197" s="1080">
        <v>1</v>
      </c>
      <c r="H197" s="1080">
        <v>1</v>
      </c>
      <c r="I197" s="1080">
        <v>1</v>
      </c>
      <c r="J197" s="1146"/>
      <c r="K197" s="1110"/>
      <c r="L197" s="1311">
        <v>2021</v>
      </c>
      <c r="M197" s="1078"/>
      <c r="N197" s="1078"/>
      <c r="O197" s="1078"/>
    </row>
    <row r="198" spans="1:15" s="1091" customFormat="1" ht="26.25" customHeight="1">
      <c r="A198" s="1094"/>
      <c r="B198" s="1313" t="s">
        <v>459</v>
      </c>
      <c r="C198" s="1312" t="s">
        <v>585</v>
      </c>
      <c r="D198" s="1080"/>
      <c r="E198" s="1080">
        <v>78</v>
      </c>
      <c r="F198" s="1080">
        <v>0</v>
      </c>
      <c r="G198" s="1080">
        <v>100</v>
      </c>
      <c r="H198" s="1080">
        <v>100</v>
      </c>
      <c r="I198" s="1080">
        <v>100</v>
      </c>
      <c r="J198" s="1146"/>
      <c r="K198" s="1110"/>
      <c r="L198" s="1311">
        <v>2021</v>
      </c>
      <c r="M198" s="1078"/>
      <c r="N198" s="1078"/>
      <c r="O198" s="1078"/>
    </row>
    <row r="199" spans="1:15" s="1091" customFormat="1" ht="13.5" customHeight="1">
      <c r="A199" s="1094"/>
      <c r="B199" s="1231" t="s">
        <v>457</v>
      </c>
      <c r="C199" s="1310"/>
      <c r="D199" s="1309">
        <v>361660.37</v>
      </c>
      <c r="E199" s="1082">
        <v>423154.3</v>
      </c>
      <c r="F199" s="1081">
        <f>I199*20%</f>
        <v>109365.788</v>
      </c>
      <c r="G199" s="1081">
        <f>I199*45%</f>
        <v>246073.02299999999</v>
      </c>
      <c r="H199" s="1081">
        <f>I199*70%</f>
        <v>382780.25799999991</v>
      </c>
      <c r="I199" s="1082">
        <v>546828.93999999994</v>
      </c>
      <c r="J199" s="1146">
        <v>0</v>
      </c>
      <c r="K199" s="1110">
        <v>0</v>
      </c>
      <c r="L199" s="1110"/>
      <c r="M199" s="1078"/>
      <c r="N199" s="1078"/>
      <c r="O199" s="1078"/>
    </row>
    <row r="200" spans="1:15" s="1128" customFormat="1" ht="11.25" customHeight="1">
      <c r="B200" s="1308"/>
      <c r="C200" s="1308"/>
      <c r="D200" s="1307"/>
      <c r="E200" s="1201"/>
      <c r="F200" s="1200"/>
      <c r="G200" s="1200"/>
      <c r="H200" s="1200"/>
      <c r="I200" s="1200"/>
    </row>
    <row r="201" spans="1:15" ht="15" customHeight="1">
      <c r="B201" s="1306" t="s">
        <v>487</v>
      </c>
      <c r="C201" s="1305" t="s">
        <v>486</v>
      </c>
      <c r="D201" s="2133"/>
      <c r="E201" s="2134"/>
      <c r="F201" s="2134"/>
      <c r="G201" s="2134"/>
      <c r="H201" s="2134"/>
      <c r="I201" s="2134"/>
    </row>
    <row r="202" spans="1:15" ht="23.25" customHeight="1">
      <c r="B202" s="1261" t="s">
        <v>485</v>
      </c>
      <c r="C202" s="1178">
        <v>104006</v>
      </c>
      <c r="D202" s="2133"/>
      <c r="E202" s="2134"/>
      <c r="F202" s="2134"/>
      <c r="G202" s="2134"/>
      <c r="H202" s="2134"/>
      <c r="I202" s="2134"/>
    </row>
    <row r="203" spans="1:15">
      <c r="B203" s="1261" t="s">
        <v>484</v>
      </c>
      <c r="C203" s="1126" t="s">
        <v>454</v>
      </c>
      <c r="D203" s="2135"/>
      <c r="E203" s="2136"/>
      <c r="F203" s="2136"/>
      <c r="G203" s="2136"/>
      <c r="H203" s="2136"/>
      <c r="I203" s="2136"/>
    </row>
    <row r="204" spans="1:15">
      <c r="B204" s="1261" t="s">
        <v>482</v>
      </c>
      <c r="C204" s="1178">
        <v>1155</v>
      </c>
      <c r="D204" s="2111" t="s">
        <v>481</v>
      </c>
      <c r="E204" s="2112"/>
      <c r="F204" s="2112"/>
      <c r="G204" s="2112"/>
      <c r="H204" s="2112"/>
      <c r="I204" s="2112"/>
      <c r="J204" s="2112"/>
      <c r="K204" s="2112"/>
      <c r="L204" s="2113"/>
    </row>
    <row r="205" spans="1:15" ht="12.75" customHeight="1">
      <c r="B205" s="1261" t="s">
        <v>480</v>
      </c>
      <c r="C205" s="1178">
        <v>11002</v>
      </c>
      <c r="D205" s="2117" t="s">
        <v>479</v>
      </c>
      <c r="E205" s="2117" t="s">
        <v>478</v>
      </c>
      <c r="F205" s="2117" t="s">
        <v>477</v>
      </c>
      <c r="G205" s="2117" t="s">
        <v>476</v>
      </c>
      <c r="H205" s="2117" t="s">
        <v>475</v>
      </c>
      <c r="I205" s="2117" t="s">
        <v>445</v>
      </c>
      <c r="J205" s="2123" t="s">
        <v>474</v>
      </c>
      <c r="K205" s="2123" t="s">
        <v>473</v>
      </c>
      <c r="L205" s="2120" t="s">
        <v>472</v>
      </c>
    </row>
    <row r="206" spans="1:15" ht="14.25" customHeight="1">
      <c r="B206" s="1260" t="s">
        <v>350</v>
      </c>
      <c r="C206" s="1126" t="s">
        <v>409</v>
      </c>
      <c r="D206" s="2118"/>
      <c r="E206" s="2118"/>
      <c r="F206" s="2118"/>
      <c r="G206" s="2118"/>
      <c r="H206" s="2118"/>
      <c r="I206" s="2118"/>
      <c r="J206" s="2123"/>
      <c r="K206" s="2123"/>
      <c r="L206" s="2120"/>
    </row>
    <row r="207" spans="1:15" ht="14.25" customHeight="1">
      <c r="B207" s="1260" t="s">
        <v>471</v>
      </c>
      <c r="C207" s="1126" t="s">
        <v>408</v>
      </c>
      <c r="D207" s="2118"/>
      <c r="E207" s="2118"/>
      <c r="F207" s="2118"/>
      <c r="G207" s="2118"/>
      <c r="H207" s="2118"/>
      <c r="I207" s="2118"/>
      <c r="J207" s="2123"/>
      <c r="K207" s="2123"/>
      <c r="L207" s="2120"/>
    </row>
    <row r="208" spans="1:15">
      <c r="B208" s="1260" t="s">
        <v>346</v>
      </c>
      <c r="C208" s="1016" t="s">
        <v>345</v>
      </c>
      <c r="D208" s="2118"/>
      <c r="E208" s="2118"/>
      <c r="F208" s="2118"/>
      <c r="G208" s="2118"/>
      <c r="H208" s="2118"/>
      <c r="I208" s="2118"/>
      <c r="J208" s="2123"/>
      <c r="K208" s="2123"/>
      <c r="L208" s="2120"/>
    </row>
    <row r="209" spans="2:12" ht="27.75" customHeight="1">
      <c r="B209" s="1300" t="s">
        <v>512</v>
      </c>
      <c r="C209" s="1126" t="s">
        <v>581</v>
      </c>
      <c r="D209" s="2118"/>
      <c r="E209" s="2118"/>
      <c r="F209" s="2118"/>
      <c r="G209" s="2118"/>
      <c r="H209" s="2118"/>
      <c r="I209" s="2118"/>
      <c r="J209" s="2123"/>
      <c r="K209" s="2123"/>
      <c r="L209" s="2120"/>
    </row>
    <row r="210" spans="2:12">
      <c r="B210" s="1228"/>
      <c r="C210" s="1227" t="s">
        <v>466</v>
      </c>
      <c r="D210" s="2119"/>
      <c r="E210" s="2119"/>
      <c r="F210" s="2119"/>
      <c r="G210" s="2119"/>
      <c r="H210" s="2119"/>
      <c r="I210" s="2119"/>
      <c r="J210" s="2123"/>
      <c r="K210" s="2123"/>
      <c r="L210" s="2120"/>
    </row>
    <row r="211" spans="2:12" ht="13.5" customHeight="1">
      <c r="B211" s="1255" t="s">
        <v>462</v>
      </c>
      <c r="C211" s="1304" t="s">
        <v>584</v>
      </c>
      <c r="D211" s="1182">
        <v>52</v>
      </c>
      <c r="E211" s="1196">
        <v>271</v>
      </c>
      <c r="F211" s="1182">
        <v>0</v>
      </c>
      <c r="G211" s="1182">
        <v>0</v>
      </c>
      <c r="H211" s="1182">
        <v>0</v>
      </c>
      <c r="I211" s="1182">
        <v>381</v>
      </c>
      <c r="J211" s="1182">
        <v>381</v>
      </c>
      <c r="K211" s="1182">
        <v>381</v>
      </c>
      <c r="L211" s="1213"/>
    </row>
    <row r="212" spans="2:12" ht="26.25" customHeight="1">
      <c r="B212" s="1195" t="s">
        <v>459</v>
      </c>
      <c r="C212" s="1304" t="s">
        <v>583</v>
      </c>
      <c r="D212" s="1182">
        <v>3.1</v>
      </c>
      <c r="E212" s="1250">
        <v>16</v>
      </c>
      <c r="F212" s="1182">
        <v>0</v>
      </c>
      <c r="G212" s="1182">
        <v>0</v>
      </c>
      <c r="H212" s="1182">
        <v>0</v>
      </c>
      <c r="I212" s="1182">
        <v>22.6</v>
      </c>
      <c r="J212" s="1182">
        <v>22.6</v>
      </c>
      <c r="K212" s="1182">
        <v>22.6</v>
      </c>
      <c r="L212" s="1213"/>
    </row>
    <row r="213" spans="2:12" ht="24" customHeight="1">
      <c r="B213" s="1195" t="s">
        <v>459</v>
      </c>
      <c r="C213" s="1304" t="s">
        <v>582</v>
      </c>
      <c r="D213" s="1182">
        <v>0</v>
      </c>
      <c r="E213" s="1248">
        <v>100</v>
      </c>
      <c r="F213" s="1282">
        <v>0</v>
      </c>
      <c r="G213" s="1282">
        <v>0</v>
      </c>
      <c r="H213" s="1282">
        <v>0</v>
      </c>
      <c r="I213" s="1248">
        <v>100</v>
      </c>
      <c r="J213" s="1248">
        <v>100</v>
      </c>
      <c r="K213" s="1248">
        <v>100</v>
      </c>
      <c r="L213" s="1213"/>
    </row>
    <row r="214" spans="2:12" ht="15" customHeight="1">
      <c r="B214" s="1231" t="s">
        <v>457</v>
      </c>
      <c r="C214" s="1164"/>
      <c r="D214" s="1303">
        <v>114375.76</v>
      </c>
      <c r="E214" s="1282">
        <v>208238.5</v>
      </c>
      <c r="F214" s="1082">
        <f>I214*20%</f>
        <v>43360.820000000007</v>
      </c>
      <c r="G214" s="1082">
        <f>I214*45%</f>
        <v>97561.845000000001</v>
      </c>
      <c r="H214" s="1082">
        <f>I214*70%</f>
        <v>151762.87</v>
      </c>
      <c r="I214" s="1282">
        <v>216804.1</v>
      </c>
      <c r="J214" s="1282">
        <v>216804.1</v>
      </c>
      <c r="K214" s="1282">
        <v>216804.1</v>
      </c>
      <c r="L214" s="1159"/>
    </row>
    <row r="215" spans="2:12" ht="9" customHeight="1">
      <c r="B215" s="1301"/>
      <c r="C215" s="1301"/>
      <c r="D215" s="1302"/>
      <c r="E215" s="1301"/>
      <c r="F215" s="1301"/>
      <c r="G215" s="1301"/>
      <c r="H215" s="1301"/>
      <c r="I215" s="1301"/>
    </row>
    <row r="216" spans="2:12" ht="15" customHeight="1">
      <c r="B216" s="1261" t="s">
        <v>487</v>
      </c>
      <c r="C216" s="1126" t="s">
        <v>486</v>
      </c>
      <c r="D216" s="2133"/>
      <c r="E216" s="2134"/>
      <c r="F216" s="2134"/>
      <c r="G216" s="2134"/>
      <c r="H216" s="2134"/>
      <c r="I216" s="2134"/>
    </row>
    <row r="217" spans="2:12" ht="25.5">
      <c r="B217" s="1261" t="s">
        <v>485</v>
      </c>
      <c r="C217" s="1178">
        <v>104006</v>
      </c>
      <c r="D217" s="2133"/>
      <c r="E217" s="2134"/>
      <c r="F217" s="2134"/>
      <c r="G217" s="2134"/>
      <c r="H217" s="2134"/>
      <c r="I217" s="2134"/>
    </row>
    <row r="218" spans="2:12">
      <c r="B218" s="1261" t="s">
        <v>484</v>
      </c>
      <c r="C218" s="1126" t="s">
        <v>454</v>
      </c>
      <c r="D218" s="2135"/>
      <c r="E218" s="2136"/>
      <c r="F218" s="2136"/>
      <c r="G218" s="2136"/>
      <c r="H218" s="2136"/>
      <c r="I218" s="2136"/>
    </row>
    <row r="219" spans="2:12">
      <c r="B219" s="1261" t="s">
        <v>482</v>
      </c>
      <c r="C219" s="1178">
        <v>1155</v>
      </c>
      <c r="D219" s="2111" t="s">
        <v>481</v>
      </c>
      <c r="E219" s="2112"/>
      <c r="F219" s="2112"/>
      <c r="G219" s="2112"/>
      <c r="H219" s="2112"/>
      <c r="I219" s="2112"/>
      <c r="J219" s="2112"/>
      <c r="K219" s="2112"/>
      <c r="L219" s="2113"/>
    </row>
    <row r="220" spans="2:12" ht="12.75" customHeight="1">
      <c r="B220" s="1261" t="s">
        <v>480</v>
      </c>
      <c r="C220" s="1178">
        <v>11003</v>
      </c>
      <c r="D220" s="2117" t="s">
        <v>479</v>
      </c>
      <c r="E220" s="2117" t="s">
        <v>478</v>
      </c>
      <c r="F220" s="2117" t="s">
        <v>477</v>
      </c>
      <c r="G220" s="2117" t="s">
        <v>476</v>
      </c>
      <c r="H220" s="2117" t="s">
        <v>475</v>
      </c>
      <c r="I220" s="2117" t="s">
        <v>445</v>
      </c>
      <c r="J220" s="2123" t="s">
        <v>474</v>
      </c>
      <c r="K220" s="2123" t="s">
        <v>473</v>
      </c>
      <c r="L220" s="2120" t="s">
        <v>472</v>
      </c>
    </row>
    <row r="221" spans="2:12" ht="25.5" customHeight="1">
      <c r="B221" s="1260" t="s">
        <v>350</v>
      </c>
      <c r="C221" s="1126" t="s">
        <v>407</v>
      </c>
      <c r="D221" s="2118"/>
      <c r="E221" s="2118"/>
      <c r="F221" s="2118"/>
      <c r="G221" s="2118"/>
      <c r="H221" s="2118"/>
      <c r="I221" s="2118"/>
      <c r="J221" s="2123"/>
      <c r="K221" s="2123"/>
      <c r="L221" s="2120"/>
    </row>
    <row r="222" spans="2:12" ht="27" customHeight="1">
      <c r="B222" s="1260" t="s">
        <v>471</v>
      </c>
      <c r="C222" s="1126" t="s">
        <v>406</v>
      </c>
      <c r="D222" s="2118"/>
      <c r="E222" s="2118"/>
      <c r="F222" s="2118"/>
      <c r="G222" s="2118"/>
      <c r="H222" s="2118"/>
      <c r="I222" s="2118"/>
      <c r="J222" s="2123"/>
      <c r="K222" s="2123"/>
      <c r="L222" s="2120"/>
    </row>
    <row r="223" spans="2:12">
      <c r="B223" s="1260" t="s">
        <v>346</v>
      </c>
      <c r="C223" s="1016" t="s">
        <v>345</v>
      </c>
      <c r="D223" s="2118"/>
      <c r="E223" s="2118"/>
      <c r="F223" s="2118"/>
      <c r="G223" s="2118"/>
      <c r="H223" s="2118"/>
      <c r="I223" s="2118"/>
      <c r="J223" s="2123"/>
      <c r="K223" s="2123"/>
      <c r="L223" s="2120"/>
    </row>
    <row r="224" spans="2:12" ht="24" customHeight="1">
      <c r="B224" s="1300" t="s">
        <v>512</v>
      </c>
      <c r="C224" s="1126" t="s">
        <v>581</v>
      </c>
      <c r="D224" s="2118"/>
      <c r="E224" s="2118"/>
      <c r="F224" s="2118"/>
      <c r="G224" s="2118"/>
      <c r="H224" s="2118"/>
      <c r="I224" s="2118"/>
      <c r="J224" s="2123"/>
      <c r="K224" s="2123"/>
      <c r="L224" s="2120"/>
    </row>
    <row r="225" spans="2:12">
      <c r="B225" s="1228"/>
      <c r="C225" s="1299" t="s">
        <v>466</v>
      </c>
      <c r="D225" s="2119"/>
      <c r="E225" s="2119"/>
      <c r="F225" s="2119"/>
      <c r="G225" s="2119"/>
      <c r="H225" s="2119"/>
      <c r="I225" s="2119"/>
      <c r="J225" s="2123"/>
      <c r="K225" s="2123"/>
      <c r="L225" s="2120"/>
    </row>
    <row r="226" spans="2:12" ht="40.5" customHeight="1">
      <c r="B226" s="1255" t="s">
        <v>462</v>
      </c>
      <c r="C226" s="1298" t="s">
        <v>580</v>
      </c>
      <c r="D226" s="1182">
        <v>1</v>
      </c>
      <c r="E226" s="1185">
        <v>1</v>
      </c>
      <c r="F226" s="1184">
        <v>0</v>
      </c>
      <c r="G226" s="1184">
        <v>0</v>
      </c>
      <c r="H226" s="1184">
        <v>0</v>
      </c>
      <c r="I226" s="1184">
        <v>1</v>
      </c>
      <c r="J226" s="1184">
        <v>1</v>
      </c>
      <c r="K226" s="1184">
        <v>1</v>
      </c>
      <c r="L226" s="1159"/>
    </row>
    <row r="227" spans="2:12" ht="27" customHeight="1">
      <c r="B227" s="1195" t="s">
        <v>459</v>
      </c>
      <c r="C227" s="1298" t="s">
        <v>579</v>
      </c>
      <c r="D227" s="1182"/>
      <c r="E227" s="1183">
        <v>1</v>
      </c>
      <c r="F227" s="1196">
        <v>0</v>
      </c>
      <c r="G227" s="1196">
        <v>0</v>
      </c>
      <c r="H227" s="1196">
        <v>0</v>
      </c>
      <c r="I227" s="1196">
        <v>1</v>
      </c>
      <c r="J227" s="1196">
        <v>1</v>
      </c>
      <c r="K227" s="1196">
        <v>1</v>
      </c>
      <c r="L227" s="1159"/>
    </row>
    <row r="228" spans="2:12" ht="15" customHeight="1">
      <c r="B228" s="1231" t="s">
        <v>457</v>
      </c>
      <c r="C228" s="1164"/>
      <c r="D228" s="1282">
        <v>6690</v>
      </c>
      <c r="E228" s="1182">
        <v>7624.3</v>
      </c>
      <c r="F228" s="1081">
        <v>0</v>
      </c>
      <c r="G228" s="1081">
        <f>I228*20%</f>
        <v>1518.08</v>
      </c>
      <c r="H228" s="1081">
        <f>I228*60%</f>
        <v>4554.24</v>
      </c>
      <c r="I228" s="1082">
        <v>7590.4</v>
      </c>
      <c r="J228" s="1082">
        <v>7590.4</v>
      </c>
      <c r="K228" s="1082">
        <v>7590.4</v>
      </c>
      <c r="L228" s="1159"/>
    </row>
    <row r="229" spans="2:12" ht="15.75" customHeight="1">
      <c r="B229" s="1297"/>
      <c r="C229" s="1061"/>
      <c r="D229" s="1061"/>
      <c r="E229" s="1061"/>
      <c r="F229" s="1061"/>
      <c r="G229" s="1061"/>
      <c r="H229" s="1061"/>
      <c r="I229" s="1061"/>
    </row>
    <row r="230" spans="2:12" ht="15" customHeight="1">
      <c r="B230" s="1261" t="s">
        <v>487</v>
      </c>
      <c r="C230" s="1126" t="s">
        <v>486</v>
      </c>
      <c r="D230" s="2133"/>
      <c r="E230" s="2134"/>
      <c r="F230" s="2134"/>
      <c r="G230" s="2134"/>
      <c r="H230" s="2134"/>
      <c r="I230" s="2134"/>
    </row>
    <row r="231" spans="2:12" ht="25.5">
      <c r="B231" s="1261" t="s">
        <v>485</v>
      </c>
      <c r="C231" s="1178">
        <v>104006</v>
      </c>
      <c r="D231" s="2133"/>
      <c r="E231" s="2134"/>
      <c r="F231" s="2134"/>
      <c r="G231" s="2134"/>
      <c r="H231" s="2134"/>
      <c r="I231" s="2134"/>
    </row>
    <row r="232" spans="2:12">
      <c r="B232" s="1261" t="s">
        <v>484</v>
      </c>
      <c r="C232" s="1126" t="s">
        <v>454</v>
      </c>
      <c r="D232" s="2135"/>
      <c r="E232" s="2136"/>
      <c r="F232" s="2136"/>
      <c r="G232" s="2136"/>
      <c r="H232" s="2136"/>
      <c r="I232" s="2136"/>
    </row>
    <row r="233" spans="2:12">
      <c r="B233" s="1261" t="s">
        <v>482</v>
      </c>
      <c r="C233" s="1178">
        <v>1155</v>
      </c>
      <c r="D233" s="2111" t="s">
        <v>481</v>
      </c>
      <c r="E233" s="2112"/>
      <c r="F233" s="2112"/>
      <c r="G233" s="2112"/>
      <c r="H233" s="2112"/>
      <c r="I233" s="2112"/>
      <c r="J233" s="2112"/>
      <c r="K233" s="2112"/>
      <c r="L233" s="2113"/>
    </row>
    <row r="234" spans="2:12" ht="12.75" customHeight="1">
      <c r="B234" s="1261" t="s">
        <v>480</v>
      </c>
      <c r="C234" s="1178">
        <v>11004</v>
      </c>
      <c r="D234" s="2117" t="s">
        <v>479</v>
      </c>
      <c r="E234" s="2117" t="s">
        <v>478</v>
      </c>
      <c r="F234" s="2117" t="s">
        <v>477</v>
      </c>
      <c r="G234" s="2117" t="s">
        <v>476</v>
      </c>
      <c r="H234" s="2117" t="s">
        <v>475</v>
      </c>
      <c r="I234" s="2117" t="s">
        <v>445</v>
      </c>
      <c r="J234" s="2123" t="s">
        <v>474</v>
      </c>
      <c r="K234" s="2123" t="s">
        <v>473</v>
      </c>
      <c r="L234" s="2120" t="s">
        <v>472</v>
      </c>
    </row>
    <row r="235" spans="2:12" ht="39.75" customHeight="1">
      <c r="B235" s="1260" t="s">
        <v>350</v>
      </c>
      <c r="C235" s="1126" t="s">
        <v>405</v>
      </c>
      <c r="D235" s="2118"/>
      <c r="E235" s="2118"/>
      <c r="F235" s="2118"/>
      <c r="G235" s="2118"/>
      <c r="H235" s="2118"/>
      <c r="I235" s="2118"/>
      <c r="J235" s="2123"/>
      <c r="K235" s="2123"/>
      <c r="L235" s="2120"/>
    </row>
    <row r="236" spans="2:12" ht="41.25" customHeight="1">
      <c r="B236" s="1260" t="s">
        <v>471</v>
      </c>
      <c r="C236" s="1126" t="s">
        <v>404</v>
      </c>
      <c r="D236" s="2118"/>
      <c r="E236" s="2118"/>
      <c r="F236" s="2118"/>
      <c r="G236" s="2118"/>
      <c r="H236" s="2118"/>
      <c r="I236" s="2118"/>
      <c r="J236" s="2123"/>
      <c r="K236" s="2123"/>
      <c r="L236" s="2120"/>
    </row>
    <row r="237" spans="2:12" ht="16.5" customHeight="1">
      <c r="B237" s="1260" t="s">
        <v>346</v>
      </c>
      <c r="C237" s="1016" t="s">
        <v>345</v>
      </c>
      <c r="D237" s="2118"/>
      <c r="E237" s="2118"/>
      <c r="F237" s="2118"/>
      <c r="G237" s="2118"/>
      <c r="H237" s="2118"/>
      <c r="I237" s="2118"/>
      <c r="J237" s="2123"/>
      <c r="K237" s="2123"/>
      <c r="L237" s="2120"/>
    </row>
    <row r="238" spans="2:12" ht="21" customHeight="1">
      <c r="B238" s="1259" t="s">
        <v>512</v>
      </c>
      <c r="C238" s="1283" t="s">
        <v>467</v>
      </c>
      <c r="D238" s="2118"/>
      <c r="E238" s="2118"/>
      <c r="F238" s="2118"/>
      <c r="G238" s="2118"/>
      <c r="H238" s="2118"/>
      <c r="I238" s="2118"/>
      <c r="J238" s="2123"/>
      <c r="K238" s="2123"/>
      <c r="L238" s="2120"/>
    </row>
    <row r="239" spans="2:12" ht="21" customHeight="1">
      <c r="B239" s="1228"/>
      <c r="C239" s="1227" t="s">
        <v>466</v>
      </c>
      <c r="D239" s="2119"/>
      <c r="E239" s="2119"/>
      <c r="F239" s="2119"/>
      <c r="G239" s="2119"/>
      <c r="H239" s="2119"/>
      <c r="I239" s="2119"/>
      <c r="J239" s="2123"/>
      <c r="K239" s="2123"/>
      <c r="L239" s="2120"/>
    </row>
    <row r="240" spans="2:12" ht="38.25">
      <c r="B240" s="1255" t="s">
        <v>462</v>
      </c>
      <c r="C240" s="1194" t="s">
        <v>578</v>
      </c>
      <c r="D240" s="1183">
        <v>147343</v>
      </c>
      <c r="E240" s="1182">
        <v>147343</v>
      </c>
      <c r="F240" s="1182">
        <v>147343</v>
      </c>
      <c r="G240" s="1182">
        <v>147343</v>
      </c>
      <c r="H240" s="1182">
        <v>147343</v>
      </c>
      <c r="I240" s="1182">
        <v>147343</v>
      </c>
      <c r="J240" s="1182">
        <v>147343</v>
      </c>
      <c r="K240" s="1182">
        <v>147343</v>
      </c>
      <c r="L240" s="1159"/>
    </row>
    <row r="241" spans="2:12" ht="33" customHeight="1">
      <c r="B241" s="1255" t="s">
        <v>462</v>
      </c>
      <c r="C241" s="1194" t="s">
        <v>552</v>
      </c>
      <c r="D241" s="1182">
        <v>4</v>
      </c>
      <c r="E241" s="1182">
        <v>4</v>
      </c>
      <c r="F241" s="1250">
        <v>1</v>
      </c>
      <c r="G241" s="1250">
        <v>2</v>
      </c>
      <c r="H241" s="1250">
        <v>3</v>
      </c>
      <c r="I241" s="1250">
        <v>4</v>
      </c>
      <c r="J241" s="1295">
        <v>4</v>
      </c>
      <c r="K241" s="1296">
        <v>4</v>
      </c>
      <c r="L241" s="1159"/>
    </row>
    <row r="242" spans="2:12" ht="30.75" customHeight="1">
      <c r="B242" s="1255" t="s">
        <v>462</v>
      </c>
      <c r="C242" s="1194" t="s">
        <v>551</v>
      </c>
      <c r="D242" s="1182">
        <v>12</v>
      </c>
      <c r="E242" s="1182">
        <v>12</v>
      </c>
      <c r="F242" s="1250">
        <v>3</v>
      </c>
      <c r="G242" s="1250">
        <v>6</v>
      </c>
      <c r="H242" s="1250">
        <v>9</v>
      </c>
      <c r="I242" s="1250">
        <v>12</v>
      </c>
      <c r="J242" s="1295">
        <v>12</v>
      </c>
      <c r="K242" s="1296">
        <v>12</v>
      </c>
      <c r="L242" s="1159"/>
    </row>
    <row r="243" spans="2:12" ht="30.75" customHeight="1">
      <c r="B243" s="1255" t="s">
        <v>462</v>
      </c>
      <c r="C243" s="1194" t="s">
        <v>577</v>
      </c>
      <c r="D243" s="1182">
        <v>3</v>
      </c>
      <c r="E243" s="1250">
        <v>3</v>
      </c>
      <c r="F243" s="1250">
        <v>3</v>
      </c>
      <c r="G243" s="1250">
        <v>3</v>
      </c>
      <c r="H243" s="1250">
        <v>3</v>
      </c>
      <c r="I243" s="1250">
        <v>3</v>
      </c>
      <c r="J243" s="1295">
        <v>3</v>
      </c>
      <c r="K243" s="1296">
        <v>3</v>
      </c>
      <c r="L243" s="1159"/>
    </row>
    <row r="244" spans="2:12" s="1060" customFormat="1" ht="42" customHeight="1">
      <c r="B244" s="1255" t="s">
        <v>462</v>
      </c>
      <c r="C244" s="1194" t="s">
        <v>576</v>
      </c>
      <c r="D244" s="1183">
        <v>2</v>
      </c>
      <c r="E244" s="1182">
        <v>2</v>
      </c>
      <c r="F244" s="1250">
        <v>1</v>
      </c>
      <c r="G244" s="1250">
        <v>1</v>
      </c>
      <c r="H244" s="1250">
        <v>1</v>
      </c>
      <c r="I244" s="1250">
        <v>2</v>
      </c>
      <c r="J244" s="1295">
        <v>2</v>
      </c>
      <c r="K244" s="1295">
        <v>2</v>
      </c>
      <c r="L244" s="1189"/>
    </row>
    <row r="245" spans="2:12" s="1060" customFormat="1" ht="42" customHeight="1">
      <c r="B245" s="1195" t="s">
        <v>459</v>
      </c>
      <c r="C245" s="1194" t="s">
        <v>575</v>
      </c>
      <c r="D245" s="1183">
        <v>100</v>
      </c>
      <c r="E245" s="1182">
        <v>100</v>
      </c>
      <c r="F245" s="1250">
        <v>0</v>
      </c>
      <c r="G245" s="1250">
        <v>0</v>
      </c>
      <c r="H245" s="1250">
        <v>0</v>
      </c>
      <c r="I245" s="1250">
        <v>100</v>
      </c>
      <c r="J245" s="1190">
        <v>100</v>
      </c>
      <c r="K245" s="1190">
        <v>100</v>
      </c>
      <c r="L245" s="1189"/>
    </row>
    <row r="246" spans="2:12" s="1060" customFormat="1" ht="27" customHeight="1">
      <c r="B246" s="1195" t="s">
        <v>459</v>
      </c>
      <c r="C246" s="1194" t="s">
        <v>574</v>
      </c>
      <c r="D246" s="1182">
        <v>10</v>
      </c>
      <c r="E246" s="1182">
        <v>10</v>
      </c>
      <c r="F246" s="1250">
        <v>0</v>
      </c>
      <c r="G246" s="1250">
        <v>0</v>
      </c>
      <c r="H246" s="1250">
        <v>0</v>
      </c>
      <c r="I246" s="1250">
        <v>10</v>
      </c>
      <c r="J246" s="1190">
        <v>10</v>
      </c>
      <c r="K246" s="1190">
        <v>10</v>
      </c>
      <c r="L246" s="1189"/>
    </row>
    <row r="247" spans="2:12" s="1060" customFormat="1" ht="54.75" customHeight="1">
      <c r="B247" s="1195" t="s">
        <v>459</v>
      </c>
      <c r="C247" s="1194" t="s">
        <v>573</v>
      </c>
      <c r="D247" s="1182">
        <v>9</v>
      </c>
      <c r="E247" s="1182">
        <v>10</v>
      </c>
      <c r="F247" s="1250">
        <v>0</v>
      </c>
      <c r="G247" s="1250">
        <v>0</v>
      </c>
      <c r="H247" s="1250">
        <v>0</v>
      </c>
      <c r="I247" s="1250">
        <v>10</v>
      </c>
      <c r="J247" s="1190">
        <v>10</v>
      </c>
      <c r="K247" s="1190">
        <v>10</v>
      </c>
      <c r="L247" s="1189"/>
    </row>
    <row r="248" spans="2:12" ht="40.5" customHeight="1">
      <c r="B248" s="1195" t="s">
        <v>459</v>
      </c>
      <c r="C248" s="1194" t="s">
        <v>547</v>
      </c>
      <c r="D248" s="1182">
        <v>60</v>
      </c>
      <c r="E248" s="1182">
        <v>65</v>
      </c>
      <c r="F248" s="1250">
        <v>0</v>
      </c>
      <c r="G248" s="1250">
        <v>0</v>
      </c>
      <c r="H248" s="1250">
        <v>0</v>
      </c>
      <c r="I248" s="1250">
        <v>65</v>
      </c>
      <c r="J248" s="1190">
        <v>70</v>
      </c>
      <c r="K248" s="1160">
        <v>70</v>
      </c>
      <c r="L248" s="1159"/>
    </row>
    <row r="249" spans="2:12" ht="21.75" customHeight="1">
      <c r="B249" s="1231" t="s">
        <v>457</v>
      </c>
      <c r="C249" s="1164"/>
      <c r="D249" s="1282">
        <v>372692.7</v>
      </c>
      <c r="E249" s="1182">
        <v>303897.7</v>
      </c>
      <c r="F249" s="1082">
        <f>I249*20%</f>
        <v>60779.540000000008</v>
      </c>
      <c r="G249" s="1082">
        <f>I249*45%</f>
        <v>136753.965</v>
      </c>
      <c r="H249" s="1082">
        <f>I249*70%</f>
        <v>212728.38999999998</v>
      </c>
      <c r="I249" s="1248">
        <v>303897.7</v>
      </c>
      <c r="J249" s="1190">
        <v>303897.7</v>
      </c>
      <c r="K249" s="1160">
        <v>303897.7</v>
      </c>
      <c r="L249" s="1159"/>
    </row>
    <row r="250" spans="2:12" ht="29.25" customHeight="1">
      <c r="B250" s="1061"/>
      <c r="C250" s="1061"/>
      <c r="D250" s="1061"/>
      <c r="E250" s="1061"/>
      <c r="F250" s="1061"/>
      <c r="G250" s="1061"/>
      <c r="H250" s="1061"/>
      <c r="I250" s="1061"/>
    </row>
    <row r="251" spans="2:12" ht="15" customHeight="1">
      <c r="B251" s="1261" t="s">
        <v>487</v>
      </c>
      <c r="C251" s="1126" t="s">
        <v>486</v>
      </c>
      <c r="D251" s="2133"/>
      <c r="E251" s="2134"/>
      <c r="F251" s="2134"/>
      <c r="G251" s="2134"/>
      <c r="H251" s="2134"/>
      <c r="I251" s="2134"/>
    </row>
    <row r="252" spans="2:12" ht="25.5">
      <c r="B252" s="1261" t="s">
        <v>485</v>
      </c>
      <c r="C252" s="1178">
        <v>104006</v>
      </c>
      <c r="D252" s="2133"/>
      <c r="E252" s="2134"/>
      <c r="F252" s="2134"/>
      <c r="G252" s="2134"/>
      <c r="H252" s="2134"/>
      <c r="I252" s="2134"/>
    </row>
    <row r="253" spans="2:12">
      <c r="B253" s="1261" t="s">
        <v>484</v>
      </c>
      <c r="C253" s="1126" t="s">
        <v>454</v>
      </c>
      <c r="D253" s="2135"/>
      <c r="E253" s="2136"/>
      <c r="F253" s="2136"/>
      <c r="G253" s="2136"/>
      <c r="H253" s="2136"/>
      <c r="I253" s="2136"/>
    </row>
    <row r="254" spans="2:12">
      <c r="B254" s="1261" t="s">
        <v>482</v>
      </c>
      <c r="C254" s="1178">
        <v>1155</v>
      </c>
      <c r="D254" s="2111" t="s">
        <v>481</v>
      </c>
      <c r="E254" s="2112"/>
      <c r="F254" s="2112"/>
      <c r="G254" s="2112"/>
      <c r="H254" s="2112"/>
      <c r="I254" s="2112"/>
      <c r="J254" s="2112"/>
      <c r="K254" s="2112"/>
      <c r="L254" s="2113"/>
    </row>
    <row r="255" spans="2:12" ht="12.75" customHeight="1">
      <c r="B255" s="1261" t="s">
        <v>480</v>
      </c>
      <c r="C255" s="1178">
        <v>11005</v>
      </c>
      <c r="D255" s="2117" t="s">
        <v>479</v>
      </c>
      <c r="E255" s="2117" t="s">
        <v>478</v>
      </c>
      <c r="F255" s="2117" t="s">
        <v>477</v>
      </c>
      <c r="G255" s="2117" t="s">
        <v>476</v>
      </c>
      <c r="H255" s="2117" t="s">
        <v>475</v>
      </c>
      <c r="I255" s="2117" t="s">
        <v>445</v>
      </c>
      <c r="J255" s="2123" t="s">
        <v>474</v>
      </c>
      <c r="K255" s="2123" t="s">
        <v>473</v>
      </c>
      <c r="L255" s="2120" t="s">
        <v>472</v>
      </c>
    </row>
    <row r="256" spans="2:12" ht="44.25" customHeight="1">
      <c r="B256" s="1260" t="s">
        <v>350</v>
      </c>
      <c r="C256" s="1126" t="s">
        <v>403</v>
      </c>
      <c r="D256" s="2118"/>
      <c r="E256" s="2118"/>
      <c r="F256" s="2118"/>
      <c r="G256" s="2118"/>
      <c r="H256" s="2118"/>
      <c r="I256" s="2118"/>
      <c r="J256" s="2123"/>
      <c r="K256" s="2123"/>
      <c r="L256" s="2120"/>
    </row>
    <row r="257" spans="2:12" ht="45" customHeight="1">
      <c r="B257" s="1260" t="s">
        <v>471</v>
      </c>
      <c r="C257" s="1294" t="s">
        <v>402</v>
      </c>
      <c r="D257" s="2118"/>
      <c r="E257" s="2118"/>
      <c r="F257" s="2118"/>
      <c r="G257" s="2118"/>
      <c r="H257" s="2118"/>
      <c r="I257" s="2118"/>
      <c r="J257" s="2123"/>
      <c r="K257" s="2123"/>
      <c r="L257" s="2120"/>
    </row>
    <row r="258" spans="2:12">
      <c r="B258" s="1260" t="s">
        <v>346</v>
      </c>
      <c r="C258" s="1016" t="s">
        <v>345</v>
      </c>
      <c r="D258" s="2118"/>
      <c r="E258" s="2118"/>
      <c r="F258" s="2118"/>
      <c r="G258" s="2118"/>
      <c r="H258" s="2118"/>
      <c r="I258" s="2118"/>
      <c r="J258" s="2123"/>
      <c r="K258" s="2123"/>
      <c r="L258" s="2120"/>
    </row>
    <row r="259" spans="2:12" ht="15" customHeight="1">
      <c r="B259" s="1259" t="s">
        <v>512</v>
      </c>
      <c r="C259" s="1283" t="s">
        <v>467</v>
      </c>
      <c r="D259" s="2118"/>
      <c r="E259" s="2118"/>
      <c r="F259" s="2118"/>
      <c r="G259" s="2118"/>
      <c r="H259" s="2118"/>
      <c r="I259" s="2118"/>
      <c r="J259" s="2123"/>
      <c r="K259" s="2123"/>
      <c r="L259" s="2120"/>
    </row>
    <row r="260" spans="2:12">
      <c r="B260" s="1228"/>
      <c r="C260" s="1227" t="s">
        <v>466</v>
      </c>
      <c r="D260" s="2119"/>
      <c r="E260" s="2119"/>
      <c r="F260" s="2119"/>
      <c r="G260" s="2119"/>
      <c r="H260" s="2119"/>
      <c r="I260" s="2119"/>
      <c r="J260" s="2123"/>
      <c r="K260" s="2123"/>
      <c r="L260" s="2120"/>
    </row>
    <row r="261" spans="2:12" ht="51.75" customHeight="1">
      <c r="B261" s="1255" t="s">
        <v>462</v>
      </c>
      <c r="C261" s="1084" t="s">
        <v>553</v>
      </c>
      <c r="D261" s="1183">
        <v>33765</v>
      </c>
      <c r="E261" s="1191">
        <v>33765</v>
      </c>
      <c r="F261" s="1193">
        <v>33765</v>
      </c>
      <c r="G261" s="1193">
        <v>33765</v>
      </c>
      <c r="H261" s="1193">
        <v>33765</v>
      </c>
      <c r="I261" s="1191">
        <v>33765</v>
      </c>
      <c r="J261" s="1191">
        <v>33765</v>
      </c>
      <c r="K261" s="1191">
        <v>33765</v>
      </c>
      <c r="L261" s="1159"/>
    </row>
    <row r="262" spans="2:12" ht="28.5" customHeight="1">
      <c r="B262" s="1255" t="s">
        <v>462</v>
      </c>
      <c r="C262" s="1256" t="s">
        <v>552</v>
      </c>
      <c r="D262" s="1182">
        <v>2</v>
      </c>
      <c r="E262" s="1182">
        <v>4</v>
      </c>
      <c r="F262" s="1193">
        <v>1</v>
      </c>
      <c r="G262" s="1193">
        <v>2</v>
      </c>
      <c r="H262" s="1193">
        <v>3</v>
      </c>
      <c r="I262" s="1182">
        <v>4</v>
      </c>
      <c r="J262" s="1182">
        <v>4</v>
      </c>
      <c r="K262" s="1182">
        <v>4</v>
      </c>
      <c r="L262" s="1159"/>
    </row>
    <row r="263" spans="2:12" ht="30.75" customHeight="1">
      <c r="B263" s="1255" t="s">
        <v>462</v>
      </c>
      <c r="C263" s="1194" t="s">
        <v>551</v>
      </c>
      <c r="D263" s="1183">
        <v>0</v>
      </c>
      <c r="E263" s="1182">
        <v>12</v>
      </c>
      <c r="F263" s="1193">
        <v>3</v>
      </c>
      <c r="G263" s="1193">
        <v>6</v>
      </c>
      <c r="H263" s="1193">
        <v>6</v>
      </c>
      <c r="I263" s="1182">
        <v>12</v>
      </c>
      <c r="J263" s="1182">
        <v>12</v>
      </c>
      <c r="K263" s="1182">
        <v>12</v>
      </c>
      <c r="L263" s="1159"/>
    </row>
    <row r="264" spans="2:12" s="1060" customFormat="1" ht="28.5" customHeight="1">
      <c r="B264" s="1255" t="s">
        <v>462</v>
      </c>
      <c r="C264" s="1194" t="s">
        <v>572</v>
      </c>
      <c r="D264" s="1183">
        <v>0</v>
      </c>
      <c r="E264" s="1182">
        <v>6</v>
      </c>
      <c r="F264" s="1193">
        <v>0</v>
      </c>
      <c r="G264" s="1193">
        <v>2</v>
      </c>
      <c r="H264" s="1193">
        <v>4</v>
      </c>
      <c r="I264" s="1182">
        <v>6</v>
      </c>
      <c r="J264" s="1182">
        <v>6</v>
      </c>
      <c r="K264" s="1182">
        <v>6</v>
      </c>
      <c r="L264" s="1189"/>
    </row>
    <row r="265" spans="2:12" s="1060" customFormat="1" ht="27" customHeight="1">
      <c r="B265" s="1195" t="s">
        <v>459</v>
      </c>
      <c r="C265" s="1194" t="s">
        <v>522</v>
      </c>
      <c r="D265" s="1183">
        <v>0</v>
      </c>
      <c r="E265" s="1182">
        <v>100</v>
      </c>
      <c r="F265" s="1193">
        <v>0</v>
      </c>
      <c r="G265" s="1193">
        <v>0</v>
      </c>
      <c r="H265" s="1193">
        <v>0</v>
      </c>
      <c r="I265" s="1182">
        <v>100</v>
      </c>
      <c r="J265" s="1182">
        <v>100</v>
      </c>
      <c r="K265" s="1182">
        <v>100</v>
      </c>
      <c r="L265" s="1189"/>
    </row>
    <row r="266" spans="2:12" s="1060" customFormat="1" ht="54.75" customHeight="1">
      <c r="B266" s="1195" t="s">
        <v>459</v>
      </c>
      <c r="C266" s="1194" t="s">
        <v>571</v>
      </c>
      <c r="D266" s="1182">
        <v>9</v>
      </c>
      <c r="E266" s="1182">
        <v>15</v>
      </c>
      <c r="F266" s="1193">
        <v>0</v>
      </c>
      <c r="G266" s="1193">
        <v>0</v>
      </c>
      <c r="H266" s="1193">
        <v>0</v>
      </c>
      <c r="I266" s="1182">
        <v>15</v>
      </c>
      <c r="J266" s="1182">
        <v>15</v>
      </c>
      <c r="K266" s="1182">
        <v>15</v>
      </c>
      <c r="L266" s="1189"/>
    </row>
    <row r="267" spans="2:12" ht="38.25" customHeight="1">
      <c r="B267" s="1195" t="s">
        <v>459</v>
      </c>
      <c r="C267" s="1194" t="s">
        <v>547</v>
      </c>
      <c r="D267" s="1182">
        <v>60</v>
      </c>
      <c r="E267" s="1191">
        <v>60</v>
      </c>
      <c r="F267" s="1193">
        <v>0</v>
      </c>
      <c r="G267" s="1193">
        <v>0</v>
      </c>
      <c r="H267" s="1193">
        <v>0</v>
      </c>
      <c r="I267" s="1191">
        <v>60</v>
      </c>
      <c r="J267" s="1191">
        <v>60</v>
      </c>
      <c r="K267" s="1191">
        <v>60</v>
      </c>
      <c r="L267" s="1159"/>
    </row>
    <row r="268" spans="2:12" ht="24" customHeight="1">
      <c r="B268" s="1231" t="s">
        <v>457</v>
      </c>
      <c r="C268" s="1164"/>
      <c r="D268" s="1182">
        <v>201475.3</v>
      </c>
      <c r="E268" s="1282">
        <v>164366.29999999999</v>
      </c>
      <c r="F268" s="1082">
        <f>I268*20%</f>
        <v>32873.26</v>
      </c>
      <c r="G268" s="1082">
        <f>I268*45%</f>
        <v>73964.834999999992</v>
      </c>
      <c r="H268" s="1082">
        <f>I268*70%</f>
        <v>115056.40999999999</v>
      </c>
      <c r="I268" s="1282">
        <v>164366.29999999999</v>
      </c>
      <c r="J268" s="1282">
        <v>164366.29999999999</v>
      </c>
      <c r="K268" s="1282">
        <v>164366.29999999999</v>
      </c>
      <c r="L268" s="1159"/>
    </row>
    <row r="269" spans="2:12" ht="48" customHeight="1">
      <c r="B269" s="1061"/>
      <c r="C269" s="1061"/>
      <c r="D269" s="1061"/>
      <c r="E269" s="1061"/>
      <c r="F269" s="1061"/>
      <c r="G269" s="1061"/>
      <c r="H269" s="1061"/>
      <c r="I269" s="1061"/>
    </row>
    <row r="270" spans="2:12" ht="24.75" customHeight="1">
      <c r="B270" s="1261" t="s">
        <v>487</v>
      </c>
      <c r="C270" s="1126" t="s">
        <v>486</v>
      </c>
      <c r="D270" s="2133"/>
      <c r="E270" s="2134"/>
      <c r="F270" s="2134"/>
      <c r="G270" s="2134"/>
      <c r="H270" s="2134"/>
      <c r="I270" s="2134"/>
    </row>
    <row r="271" spans="2:12" ht="25.5">
      <c r="B271" s="1261" t="s">
        <v>485</v>
      </c>
      <c r="C271" s="1178">
        <v>104006</v>
      </c>
      <c r="D271" s="2133"/>
      <c r="E271" s="2134"/>
      <c r="F271" s="2134"/>
      <c r="G271" s="2134"/>
      <c r="H271" s="2134"/>
      <c r="I271" s="2134"/>
    </row>
    <row r="272" spans="2:12" ht="19.5" customHeight="1">
      <c r="B272" s="1261" t="s">
        <v>484</v>
      </c>
      <c r="C272" s="1126" t="s">
        <v>454</v>
      </c>
      <c r="D272" s="2135"/>
      <c r="E272" s="2136"/>
      <c r="F272" s="2136"/>
      <c r="G272" s="2136"/>
      <c r="H272" s="2136"/>
      <c r="I272" s="2136"/>
    </row>
    <row r="273" spans="2:12">
      <c r="B273" s="1261" t="s">
        <v>482</v>
      </c>
      <c r="C273" s="1178">
        <v>1155</v>
      </c>
      <c r="D273" s="2111" t="s">
        <v>481</v>
      </c>
      <c r="E273" s="2112"/>
      <c r="F273" s="2112"/>
      <c r="G273" s="2112"/>
      <c r="H273" s="2112"/>
      <c r="I273" s="2112"/>
      <c r="J273" s="2112"/>
      <c r="K273" s="2112"/>
      <c r="L273" s="2113"/>
    </row>
    <row r="274" spans="2:12" ht="12.75" customHeight="1">
      <c r="B274" s="1261" t="s">
        <v>480</v>
      </c>
      <c r="C274" s="1178">
        <v>11006</v>
      </c>
      <c r="D274" s="2117" t="s">
        <v>479</v>
      </c>
      <c r="E274" s="2117" t="s">
        <v>478</v>
      </c>
      <c r="F274" s="2117" t="s">
        <v>477</v>
      </c>
      <c r="G274" s="2117" t="s">
        <v>476</v>
      </c>
      <c r="H274" s="2117" t="s">
        <v>475</v>
      </c>
      <c r="I274" s="2117" t="s">
        <v>445</v>
      </c>
      <c r="J274" s="2123" t="s">
        <v>474</v>
      </c>
      <c r="K274" s="2123" t="s">
        <v>473</v>
      </c>
      <c r="L274" s="2120" t="s">
        <v>472</v>
      </c>
    </row>
    <row r="275" spans="2:12" ht="46.5" customHeight="1">
      <c r="B275" s="1260" t="s">
        <v>350</v>
      </c>
      <c r="C275" s="1126" t="s">
        <v>401</v>
      </c>
      <c r="D275" s="2118"/>
      <c r="E275" s="2118"/>
      <c r="F275" s="2118"/>
      <c r="G275" s="2118"/>
      <c r="H275" s="2118"/>
      <c r="I275" s="2118"/>
      <c r="J275" s="2123"/>
      <c r="K275" s="2123"/>
      <c r="L275" s="2120"/>
    </row>
    <row r="276" spans="2:12" ht="48.75" customHeight="1">
      <c r="B276" s="1260" t="s">
        <v>471</v>
      </c>
      <c r="C276" s="1293" t="s">
        <v>400</v>
      </c>
      <c r="D276" s="2118"/>
      <c r="E276" s="2118"/>
      <c r="F276" s="2118"/>
      <c r="G276" s="2118"/>
      <c r="H276" s="2118"/>
      <c r="I276" s="2118"/>
      <c r="J276" s="2123"/>
      <c r="K276" s="2123"/>
      <c r="L276" s="2120"/>
    </row>
    <row r="277" spans="2:12">
      <c r="B277" s="1260" t="s">
        <v>346</v>
      </c>
      <c r="C277" s="1016" t="s">
        <v>345</v>
      </c>
      <c r="D277" s="2118"/>
      <c r="E277" s="2118"/>
      <c r="F277" s="2118"/>
      <c r="G277" s="2118"/>
      <c r="H277" s="2118"/>
      <c r="I277" s="2118"/>
      <c r="J277" s="2123"/>
      <c r="K277" s="2123"/>
      <c r="L277" s="2120"/>
    </row>
    <row r="278" spans="2:12" ht="27.75" customHeight="1">
      <c r="B278" s="1259" t="s">
        <v>512</v>
      </c>
      <c r="C278" s="1283" t="s">
        <v>467</v>
      </c>
      <c r="D278" s="2118"/>
      <c r="E278" s="2118"/>
      <c r="F278" s="2118"/>
      <c r="G278" s="2118"/>
      <c r="H278" s="2118"/>
      <c r="I278" s="2118"/>
      <c r="J278" s="2123"/>
      <c r="K278" s="2123"/>
      <c r="L278" s="2120"/>
    </row>
    <row r="279" spans="2:12" ht="15.75" customHeight="1">
      <c r="B279" s="1228"/>
      <c r="C279" s="1227" t="s">
        <v>466</v>
      </c>
      <c r="D279" s="2119"/>
      <c r="E279" s="2119"/>
      <c r="F279" s="2119"/>
      <c r="G279" s="2119"/>
      <c r="H279" s="2119"/>
      <c r="I279" s="2119"/>
      <c r="J279" s="2123"/>
      <c r="K279" s="2123"/>
      <c r="L279" s="2120"/>
    </row>
    <row r="280" spans="2:12" ht="56.25" customHeight="1">
      <c r="B280" s="1255" t="s">
        <v>462</v>
      </c>
      <c r="C280" s="1194" t="s">
        <v>570</v>
      </c>
      <c r="D280" s="1292">
        <v>23448.7</v>
      </c>
      <c r="E280" s="1292">
        <v>23448.7</v>
      </c>
      <c r="F280" s="1292">
        <v>23448.7</v>
      </c>
      <c r="G280" s="1292">
        <v>23448.7</v>
      </c>
      <c r="H280" s="1292">
        <v>23448.7</v>
      </c>
      <c r="I280" s="1292">
        <v>23448.7</v>
      </c>
      <c r="J280" s="1292">
        <v>23448.7</v>
      </c>
      <c r="K280" s="1292">
        <v>23448.7</v>
      </c>
      <c r="L280" s="1138"/>
    </row>
    <row r="281" spans="2:12" ht="29.25" customHeight="1">
      <c r="B281" s="1255" t="s">
        <v>462</v>
      </c>
      <c r="C281" s="1256" t="s">
        <v>552</v>
      </c>
      <c r="D281" s="1251">
        <v>4</v>
      </c>
      <c r="E281" s="1250">
        <v>4</v>
      </c>
      <c r="F281" s="1250">
        <v>1</v>
      </c>
      <c r="G281" s="1250">
        <v>2</v>
      </c>
      <c r="H281" s="1250">
        <v>3</v>
      </c>
      <c r="I281" s="1250">
        <v>4</v>
      </c>
      <c r="J281" s="1250">
        <v>4</v>
      </c>
      <c r="K281" s="1250">
        <v>4</v>
      </c>
      <c r="L281" s="1159"/>
    </row>
    <row r="282" spans="2:12" ht="39.75" customHeight="1">
      <c r="B282" s="1255" t="s">
        <v>462</v>
      </c>
      <c r="C282" s="1194" t="s">
        <v>569</v>
      </c>
      <c r="D282" s="1250">
        <v>0</v>
      </c>
      <c r="E282" s="1182">
        <v>11</v>
      </c>
      <c r="F282" s="1250">
        <v>3</v>
      </c>
      <c r="G282" s="1250">
        <v>6</v>
      </c>
      <c r="H282" s="1250">
        <v>9</v>
      </c>
      <c r="I282" s="1250">
        <v>11</v>
      </c>
      <c r="J282" s="1250">
        <v>11</v>
      </c>
      <c r="K282" s="1250">
        <v>11</v>
      </c>
      <c r="L282" s="1159"/>
    </row>
    <row r="283" spans="2:12" ht="23.25" customHeight="1">
      <c r="B283" s="1255" t="s">
        <v>462</v>
      </c>
      <c r="C283" s="1194" t="s">
        <v>568</v>
      </c>
      <c r="D283" s="1250">
        <v>0</v>
      </c>
      <c r="E283" s="1182">
        <v>2</v>
      </c>
      <c r="F283" s="1250">
        <v>0</v>
      </c>
      <c r="G283" s="1250">
        <v>0</v>
      </c>
      <c r="H283" s="1250">
        <v>0</v>
      </c>
      <c r="I283" s="1250">
        <v>2</v>
      </c>
      <c r="J283" s="1250">
        <v>2</v>
      </c>
      <c r="K283" s="1250">
        <v>2</v>
      </c>
      <c r="L283" s="1159"/>
    </row>
    <row r="284" spans="2:12" s="1060" customFormat="1" ht="27" customHeight="1">
      <c r="B284" s="1195" t="s">
        <v>459</v>
      </c>
      <c r="C284" s="1194" t="s">
        <v>522</v>
      </c>
      <c r="D284" s="1250">
        <v>0</v>
      </c>
      <c r="E284" s="1250">
        <v>100</v>
      </c>
      <c r="F284" s="1250">
        <v>25</v>
      </c>
      <c r="G284" s="1250">
        <v>50</v>
      </c>
      <c r="H284" s="1250">
        <v>75</v>
      </c>
      <c r="I284" s="1250">
        <v>100</v>
      </c>
      <c r="J284" s="1250">
        <v>100</v>
      </c>
      <c r="K284" s="1250">
        <v>100</v>
      </c>
      <c r="L284" s="1189"/>
    </row>
    <row r="285" spans="2:12" s="1060" customFormat="1" ht="54.75" customHeight="1">
      <c r="B285" s="1195" t="s">
        <v>459</v>
      </c>
      <c r="C285" s="1194" t="s">
        <v>549</v>
      </c>
      <c r="D285" s="1182">
        <v>9</v>
      </c>
      <c r="E285" s="1182">
        <v>8</v>
      </c>
      <c r="F285" s="1250">
        <v>0</v>
      </c>
      <c r="G285" s="1250">
        <v>0</v>
      </c>
      <c r="H285" s="1250">
        <v>0</v>
      </c>
      <c r="I285" s="1250">
        <v>8</v>
      </c>
      <c r="J285" s="1250">
        <v>8</v>
      </c>
      <c r="K285" s="1250">
        <v>8</v>
      </c>
      <c r="L285" s="1189"/>
    </row>
    <row r="286" spans="2:12" ht="38.25">
      <c r="B286" s="1195" t="s">
        <v>459</v>
      </c>
      <c r="C286" s="1194" t="s">
        <v>547</v>
      </c>
      <c r="D286" s="1252">
        <v>60</v>
      </c>
      <c r="E286" s="1291">
        <v>60</v>
      </c>
      <c r="F286" s="1250">
        <v>0</v>
      </c>
      <c r="G286" s="1250">
        <v>0</v>
      </c>
      <c r="H286" s="1250">
        <v>0</v>
      </c>
      <c r="I286" s="1250">
        <v>60</v>
      </c>
      <c r="J286" s="1250">
        <v>60</v>
      </c>
      <c r="K286" s="1250">
        <v>60</v>
      </c>
      <c r="L286" s="1159"/>
    </row>
    <row r="287" spans="2:12" ht="15" customHeight="1">
      <c r="B287" s="1231" t="s">
        <v>457</v>
      </c>
      <c r="C287" s="1164"/>
      <c r="D287" s="1290">
        <v>190339.5</v>
      </c>
      <c r="E287" s="1289">
        <v>169254.1</v>
      </c>
      <c r="F287" s="1188">
        <f>I287*20%</f>
        <v>77656.819999999992</v>
      </c>
      <c r="G287" s="1188">
        <f>I287*45%</f>
        <v>174727.845</v>
      </c>
      <c r="H287" s="1188">
        <f>I287*70%</f>
        <v>271798.87</v>
      </c>
      <c r="I287" s="1248">
        <v>388284.1</v>
      </c>
      <c r="J287" s="1248">
        <v>388284.1</v>
      </c>
      <c r="K287" s="1248">
        <v>388284.1</v>
      </c>
      <c r="L287" s="1159"/>
    </row>
    <row r="288" spans="2:12" ht="66.75" customHeight="1">
      <c r="B288" s="1061"/>
      <c r="C288" s="1061"/>
      <c r="D288" s="1061"/>
      <c r="E288" s="1061"/>
      <c r="F288" s="1061"/>
      <c r="G288" s="1061"/>
      <c r="H288" s="1061"/>
      <c r="I288" s="1061"/>
    </row>
    <row r="289" spans="2:15" ht="20.25" customHeight="1">
      <c r="B289" s="1261" t="s">
        <v>487</v>
      </c>
      <c r="C289" s="1126" t="s">
        <v>486</v>
      </c>
      <c r="D289" s="2133"/>
      <c r="E289" s="2134"/>
      <c r="F289" s="2134"/>
      <c r="G289" s="2134"/>
      <c r="H289" s="2134"/>
      <c r="I289" s="2134"/>
    </row>
    <row r="290" spans="2:15" ht="25.5">
      <c r="B290" s="1261" t="s">
        <v>485</v>
      </c>
      <c r="C290" s="1178">
        <v>104006</v>
      </c>
      <c r="D290" s="2133"/>
      <c r="E290" s="2134"/>
      <c r="F290" s="2134"/>
      <c r="G290" s="2134"/>
      <c r="H290" s="2134"/>
      <c r="I290" s="2134"/>
    </row>
    <row r="291" spans="2:15">
      <c r="B291" s="1261" t="s">
        <v>484</v>
      </c>
      <c r="C291" s="1126" t="s">
        <v>454</v>
      </c>
      <c r="D291" s="2135"/>
      <c r="E291" s="2136"/>
      <c r="F291" s="2136"/>
      <c r="G291" s="2136"/>
      <c r="H291" s="2136"/>
      <c r="I291" s="2136"/>
    </row>
    <row r="292" spans="2:15">
      <c r="B292" s="1261" t="s">
        <v>482</v>
      </c>
      <c r="C292" s="1178">
        <v>1155</v>
      </c>
      <c r="D292" s="2111" t="s">
        <v>481</v>
      </c>
      <c r="E292" s="2112"/>
      <c r="F292" s="2112"/>
      <c r="G292" s="2112"/>
      <c r="H292" s="2112"/>
      <c r="I292" s="2112"/>
      <c r="J292" s="2112"/>
      <c r="K292" s="2112"/>
      <c r="L292" s="2113"/>
    </row>
    <row r="293" spans="2:15" ht="12.75" customHeight="1">
      <c r="B293" s="1261" t="s">
        <v>480</v>
      </c>
      <c r="C293" s="1178">
        <v>11007</v>
      </c>
      <c r="D293" s="2117" t="s">
        <v>479</v>
      </c>
      <c r="E293" s="2117" t="s">
        <v>478</v>
      </c>
      <c r="F293" s="2117" t="s">
        <v>477</v>
      </c>
      <c r="G293" s="2117" t="s">
        <v>476</v>
      </c>
      <c r="H293" s="2117" t="s">
        <v>475</v>
      </c>
      <c r="I293" s="2117" t="s">
        <v>445</v>
      </c>
      <c r="J293" s="2123" t="s">
        <v>474</v>
      </c>
      <c r="K293" s="2123" t="s">
        <v>473</v>
      </c>
      <c r="L293" s="2120" t="s">
        <v>472</v>
      </c>
    </row>
    <row r="294" spans="2:15" ht="33.75" customHeight="1">
      <c r="B294" s="1260" t="s">
        <v>350</v>
      </c>
      <c r="C294" s="1126" t="s">
        <v>399</v>
      </c>
      <c r="D294" s="2118"/>
      <c r="E294" s="2118"/>
      <c r="F294" s="2118"/>
      <c r="G294" s="2118"/>
      <c r="H294" s="2118"/>
      <c r="I294" s="2118"/>
      <c r="J294" s="2123"/>
      <c r="K294" s="2123"/>
      <c r="L294" s="2120"/>
    </row>
    <row r="295" spans="2:15" ht="54" customHeight="1">
      <c r="B295" s="1260" t="s">
        <v>471</v>
      </c>
      <c r="C295" s="1016" t="s">
        <v>567</v>
      </c>
      <c r="D295" s="2118"/>
      <c r="E295" s="2118"/>
      <c r="F295" s="2118"/>
      <c r="G295" s="2118"/>
      <c r="H295" s="2118"/>
      <c r="I295" s="2118"/>
      <c r="J295" s="2123"/>
      <c r="K295" s="2123"/>
      <c r="L295" s="2120"/>
    </row>
    <row r="296" spans="2:15" ht="18.75" customHeight="1">
      <c r="B296" s="1260" t="s">
        <v>346</v>
      </c>
      <c r="C296" s="1016" t="s">
        <v>345</v>
      </c>
      <c r="D296" s="2118"/>
      <c r="E296" s="2118"/>
      <c r="F296" s="2118"/>
      <c r="G296" s="2118"/>
      <c r="H296" s="2118"/>
      <c r="I296" s="2118"/>
      <c r="J296" s="2123"/>
      <c r="K296" s="2123"/>
      <c r="L296" s="2120"/>
    </row>
    <row r="297" spans="2:15" ht="27.75" customHeight="1">
      <c r="B297" s="1259" t="s">
        <v>512</v>
      </c>
      <c r="C297" s="1283" t="s">
        <v>467</v>
      </c>
      <c r="D297" s="2118"/>
      <c r="E297" s="2118"/>
      <c r="F297" s="2118"/>
      <c r="G297" s="2118"/>
      <c r="H297" s="2118"/>
      <c r="I297" s="2118"/>
      <c r="J297" s="2123"/>
      <c r="K297" s="2123"/>
      <c r="L297" s="2120"/>
    </row>
    <row r="298" spans="2:15" ht="20.25" customHeight="1">
      <c r="B298" s="1228"/>
      <c r="C298" s="1227" t="s">
        <v>466</v>
      </c>
      <c r="D298" s="2119"/>
      <c r="E298" s="2119"/>
      <c r="F298" s="2119"/>
      <c r="G298" s="2119"/>
      <c r="H298" s="2119"/>
      <c r="I298" s="2119"/>
      <c r="J298" s="2123"/>
      <c r="K298" s="2123"/>
      <c r="L298" s="2120"/>
    </row>
    <row r="299" spans="2:15" s="1262" customFormat="1" ht="40.5" customHeight="1">
      <c r="B299" s="1279" t="s">
        <v>462</v>
      </c>
      <c r="C299" s="1288" t="s">
        <v>566</v>
      </c>
      <c r="D299" s="1280">
        <v>23359.8</v>
      </c>
      <c r="E299" s="1271">
        <v>23359.8</v>
      </c>
      <c r="F299" s="1271">
        <v>23359.8</v>
      </c>
      <c r="G299" s="1271">
        <v>23359.8</v>
      </c>
      <c r="H299" s="1271">
        <v>23359.8</v>
      </c>
      <c r="I299" s="1271">
        <v>23359.8</v>
      </c>
      <c r="J299" s="1271">
        <v>23359.8</v>
      </c>
      <c r="K299" s="1271">
        <v>23359.8</v>
      </c>
      <c r="L299" s="1264"/>
      <c r="M299" s="1263"/>
      <c r="N299" s="1263"/>
      <c r="O299" s="1263"/>
    </row>
    <row r="300" spans="2:15" s="1262" customFormat="1" ht="33" customHeight="1">
      <c r="B300" s="1279" t="s">
        <v>462</v>
      </c>
      <c r="C300" s="1281" t="s">
        <v>552</v>
      </c>
      <c r="D300" s="1272">
        <v>4</v>
      </c>
      <c r="E300" s="1271">
        <v>4</v>
      </c>
      <c r="F300" s="1272">
        <v>1</v>
      </c>
      <c r="G300" s="1272">
        <v>2</v>
      </c>
      <c r="H300" s="1272">
        <v>3</v>
      </c>
      <c r="I300" s="1268">
        <v>4</v>
      </c>
      <c r="J300" s="1287">
        <v>4</v>
      </c>
      <c r="K300" s="1286">
        <v>4</v>
      </c>
      <c r="L300" s="1264"/>
      <c r="M300" s="1263"/>
      <c r="N300" s="1263"/>
      <c r="O300" s="1263"/>
    </row>
    <row r="301" spans="2:15" s="1262" customFormat="1" ht="30.75" customHeight="1">
      <c r="B301" s="1279" t="s">
        <v>462</v>
      </c>
      <c r="C301" s="1273" t="s">
        <v>551</v>
      </c>
      <c r="D301" s="1280">
        <v>0</v>
      </c>
      <c r="E301" s="1268">
        <v>35</v>
      </c>
      <c r="F301" s="1272">
        <v>15</v>
      </c>
      <c r="G301" s="1272">
        <v>10</v>
      </c>
      <c r="H301" s="1272">
        <v>10</v>
      </c>
      <c r="I301" s="1268">
        <v>35</v>
      </c>
      <c r="J301" s="1287">
        <v>35</v>
      </c>
      <c r="K301" s="1286">
        <v>35</v>
      </c>
      <c r="L301" s="1264"/>
      <c r="M301" s="1263"/>
      <c r="N301" s="1263"/>
      <c r="O301" s="1263"/>
    </row>
    <row r="302" spans="2:15" s="1263" customFormat="1" ht="27" customHeight="1">
      <c r="B302" s="1274" t="s">
        <v>459</v>
      </c>
      <c r="C302" s="1273" t="s">
        <v>522</v>
      </c>
      <c r="D302" s="1280">
        <v>0</v>
      </c>
      <c r="E302" s="1268">
        <v>100</v>
      </c>
      <c r="F302" s="1272">
        <v>0</v>
      </c>
      <c r="G302" s="1272">
        <v>0</v>
      </c>
      <c r="H302" s="1272">
        <v>0</v>
      </c>
      <c r="I302" s="1287">
        <v>100</v>
      </c>
      <c r="J302" s="1287">
        <v>100</v>
      </c>
      <c r="K302" s="1287">
        <v>100</v>
      </c>
      <c r="L302" s="1276"/>
    </row>
    <row r="303" spans="2:15" s="1263" customFormat="1" ht="54.75" customHeight="1">
      <c r="B303" s="1274" t="s">
        <v>459</v>
      </c>
      <c r="C303" s="1273" t="s">
        <v>565</v>
      </c>
      <c r="D303" s="1268">
        <v>9</v>
      </c>
      <c r="E303" s="1268">
        <v>9</v>
      </c>
      <c r="F303" s="1272">
        <v>0</v>
      </c>
      <c r="G303" s="1272">
        <v>0</v>
      </c>
      <c r="H303" s="1272">
        <v>0</v>
      </c>
      <c r="I303" s="1287">
        <v>9</v>
      </c>
      <c r="J303" s="1287">
        <v>9</v>
      </c>
      <c r="K303" s="1287">
        <v>9</v>
      </c>
      <c r="L303" s="1276"/>
    </row>
    <row r="304" spans="2:15" s="1262" customFormat="1" ht="42" customHeight="1">
      <c r="B304" s="1274" t="s">
        <v>459</v>
      </c>
      <c r="C304" s="1273" t="s">
        <v>547</v>
      </c>
      <c r="D304" s="1268">
        <v>60</v>
      </c>
      <c r="E304" s="1271">
        <v>68</v>
      </c>
      <c r="F304" s="1272">
        <v>0</v>
      </c>
      <c r="G304" s="1272">
        <v>0</v>
      </c>
      <c r="H304" s="1272">
        <v>0</v>
      </c>
      <c r="I304" s="1287">
        <v>68</v>
      </c>
      <c r="J304" s="1287">
        <v>68</v>
      </c>
      <c r="K304" s="1286">
        <v>68</v>
      </c>
      <c r="L304" s="1264"/>
      <c r="M304" s="1263"/>
      <c r="N304" s="1263"/>
      <c r="O304" s="1263"/>
    </row>
    <row r="305" spans="2:15" s="1262" customFormat="1" ht="21.75" customHeight="1">
      <c r="B305" s="1270" t="s">
        <v>457</v>
      </c>
      <c r="C305" s="1269"/>
      <c r="D305" s="1268">
        <v>188497.7</v>
      </c>
      <c r="E305" s="1285">
        <v>152887.29999999999</v>
      </c>
      <c r="F305" s="1082">
        <f>I305*20%</f>
        <v>34306.559999999998</v>
      </c>
      <c r="G305" s="1082">
        <f>I305*45%</f>
        <v>77189.759999999995</v>
      </c>
      <c r="H305" s="1082">
        <f>I305*70%</f>
        <v>120072.95999999998</v>
      </c>
      <c r="I305" s="1284">
        <v>171532.79999999999</v>
      </c>
      <c r="J305" s="1284">
        <v>171532.79999999999</v>
      </c>
      <c r="K305" s="1284">
        <v>171532.79999999999</v>
      </c>
      <c r="L305" s="1264"/>
      <c r="M305" s="1263"/>
      <c r="N305" s="1263"/>
      <c r="O305" s="1263"/>
    </row>
    <row r="306" spans="2:15" ht="67.5" customHeight="1">
      <c r="B306" s="1061"/>
      <c r="C306" s="1061"/>
      <c r="D306" s="1061"/>
      <c r="E306" s="1062"/>
      <c r="F306" s="1061"/>
      <c r="G306" s="1061"/>
      <c r="H306" s="1061"/>
      <c r="I306" s="1061"/>
    </row>
    <row r="307" spans="2:15" ht="28.5" customHeight="1">
      <c r="B307" s="1261" t="s">
        <v>487</v>
      </c>
      <c r="C307" s="1126" t="s">
        <v>486</v>
      </c>
      <c r="D307" s="2133"/>
      <c r="E307" s="2134"/>
      <c r="F307" s="2134"/>
      <c r="G307" s="2134"/>
      <c r="H307" s="2134"/>
      <c r="I307" s="2134"/>
    </row>
    <row r="308" spans="2:15" ht="25.5">
      <c r="B308" s="1261" t="s">
        <v>485</v>
      </c>
      <c r="C308" s="1178">
        <v>104006</v>
      </c>
      <c r="D308" s="2133"/>
      <c r="E308" s="2134"/>
      <c r="F308" s="2134"/>
      <c r="G308" s="2134"/>
      <c r="H308" s="2134"/>
      <c r="I308" s="2134"/>
    </row>
    <row r="309" spans="2:15">
      <c r="B309" s="1261" t="s">
        <v>484</v>
      </c>
      <c r="C309" s="1126" t="s">
        <v>454</v>
      </c>
      <c r="D309" s="2135"/>
      <c r="E309" s="2136"/>
      <c r="F309" s="2136"/>
      <c r="G309" s="2136"/>
      <c r="H309" s="2136"/>
      <c r="I309" s="2136"/>
    </row>
    <row r="310" spans="2:15">
      <c r="B310" s="1261" t="s">
        <v>482</v>
      </c>
      <c r="C310" s="1178">
        <v>1155</v>
      </c>
      <c r="D310" s="2111" t="s">
        <v>481</v>
      </c>
      <c r="E310" s="2112"/>
      <c r="F310" s="2112"/>
      <c r="G310" s="2112"/>
      <c r="H310" s="2112"/>
      <c r="I310" s="2112"/>
      <c r="J310" s="2112"/>
      <c r="K310" s="2112"/>
      <c r="L310" s="2113"/>
    </row>
    <row r="311" spans="2:15" ht="12.75" customHeight="1">
      <c r="B311" s="1261" t="s">
        <v>480</v>
      </c>
      <c r="C311" s="1178">
        <v>11008</v>
      </c>
      <c r="D311" s="2117" t="s">
        <v>479</v>
      </c>
      <c r="E311" s="2117" t="s">
        <v>478</v>
      </c>
      <c r="F311" s="2117" t="s">
        <v>477</v>
      </c>
      <c r="G311" s="2117" t="s">
        <v>476</v>
      </c>
      <c r="H311" s="2117" t="s">
        <v>475</v>
      </c>
      <c r="I311" s="2117" t="s">
        <v>445</v>
      </c>
      <c r="J311" s="2123" t="s">
        <v>474</v>
      </c>
      <c r="K311" s="2123" t="s">
        <v>473</v>
      </c>
      <c r="L311" s="2120" t="s">
        <v>472</v>
      </c>
    </row>
    <row r="312" spans="2:15" ht="41.25" customHeight="1">
      <c r="B312" s="1260" t="s">
        <v>350</v>
      </c>
      <c r="C312" s="1017" t="s">
        <v>564</v>
      </c>
      <c r="D312" s="2118"/>
      <c r="E312" s="2118"/>
      <c r="F312" s="2118"/>
      <c r="G312" s="2118"/>
      <c r="H312" s="2118"/>
      <c r="I312" s="2118"/>
      <c r="J312" s="2123"/>
      <c r="K312" s="2123"/>
      <c r="L312" s="2120"/>
    </row>
    <row r="313" spans="2:15" ht="40.5" customHeight="1">
      <c r="B313" s="1260" t="s">
        <v>471</v>
      </c>
      <c r="C313" s="1017" t="s">
        <v>563</v>
      </c>
      <c r="D313" s="2118"/>
      <c r="E313" s="2118"/>
      <c r="F313" s="2118"/>
      <c r="G313" s="2118"/>
      <c r="H313" s="2118"/>
      <c r="I313" s="2118"/>
      <c r="J313" s="2123"/>
      <c r="K313" s="2123"/>
      <c r="L313" s="2120"/>
    </row>
    <row r="314" spans="2:15" ht="15" customHeight="1">
      <c r="B314" s="1260" t="s">
        <v>346</v>
      </c>
      <c r="C314" s="1016" t="s">
        <v>345</v>
      </c>
      <c r="D314" s="2118"/>
      <c r="E314" s="2118"/>
      <c r="F314" s="2118"/>
      <c r="G314" s="2118"/>
      <c r="H314" s="2118"/>
      <c r="I314" s="2118"/>
      <c r="J314" s="2123"/>
      <c r="K314" s="2123"/>
      <c r="L314" s="2120"/>
    </row>
    <row r="315" spans="2:15" ht="19.5" customHeight="1">
      <c r="B315" s="1259" t="s">
        <v>512</v>
      </c>
      <c r="C315" s="1283" t="s">
        <v>562</v>
      </c>
      <c r="D315" s="2118"/>
      <c r="E315" s="2118"/>
      <c r="F315" s="2118"/>
      <c r="G315" s="2118"/>
      <c r="H315" s="2118"/>
      <c r="I315" s="2118"/>
      <c r="J315" s="2123"/>
      <c r="K315" s="2123"/>
      <c r="L315" s="2120"/>
    </row>
    <row r="316" spans="2:15" ht="19.5" customHeight="1">
      <c r="B316" s="1228"/>
      <c r="C316" s="1227" t="s">
        <v>466</v>
      </c>
      <c r="D316" s="2119"/>
      <c r="E316" s="2119"/>
      <c r="F316" s="2119"/>
      <c r="G316" s="2119"/>
      <c r="H316" s="2119"/>
      <c r="I316" s="2119"/>
      <c r="J316" s="2123"/>
      <c r="K316" s="2123"/>
      <c r="L316" s="2120"/>
    </row>
    <row r="317" spans="2:15" ht="53.25" customHeight="1">
      <c r="B317" s="1255" t="s">
        <v>462</v>
      </c>
      <c r="C317" s="1084" t="s">
        <v>553</v>
      </c>
      <c r="D317" s="1185">
        <v>21039.3</v>
      </c>
      <c r="E317" s="1191">
        <v>21039.3</v>
      </c>
      <c r="F317" s="1185">
        <v>21039.3</v>
      </c>
      <c r="G317" s="1191">
        <v>21039.3</v>
      </c>
      <c r="H317" s="1191">
        <v>21039.3</v>
      </c>
      <c r="I317" s="1185">
        <v>21039.3</v>
      </c>
      <c r="J317" s="1191">
        <v>21039.3</v>
      </c>
      <c r="K317" s="1191">
        <v>21039.3</v>
      </c>
      <c r="L317" s="1159"/>
    </row>
    <row r="318" spans="2:15" ht="26.25" customHeight="1">
      <c r="B318" s="1255" t="s">
        <v>462</v>
      </c>
      <c r="C318" s="1256" t="s">
        <v>552</v>
      </c>
      <c r="D318" s="1250">
        <v>1</v>
      </c>
      <c r="E318" s="1182">
        <v>4</v>
      </c>
      <c r="F318" s="1250">
        <v>1</v>
      </c>
      <c r="G318" s="1250">
        <v>2</v>
      </c>
      <c r="H318" s="1250">
        <v>3</v>
      </c>
      <c r="I318" s="1250">
        <v>4</v>
      </c>
      <c r="J318" s="1182">
        <v>4</v>
      </c>
      <c r="K318" s="1182">
        <v>4</v>
      </c>
      <c r="L318" s="1159"/>
    </row>
    <row r="319" spans="2:15" ht="30.75" customHeight="1">
      <c r="B319" s="1255" t="s">
        <v>462</v>
      </c>
      <c r="C319" s="1194" t="s">
        <v>551</v>
      </c>
      <c r="D319" s="1254"/>
      <c r="E319" s="1182">
        <v>10</v>
      </c>
      <c r="F319" s="1250">
        <v>1</v>
      </c>
      <c r="G319" s="1250">
        <v>2</v>
      </c>
      <c r="H319" s="1250">
        <v>7</v>
      </c>
      <c r="I319" s="1250">
        <v>10</v>
      </c>
      <c r="J319" s="1182">
        <v>10</v>
      </c>
      <c r="K319" s="1182">
        <v>10</v>
      </c>
      <c r="L319" s="1159"/>
    </row>
    <row r="320" spans="2:15" ht="24.75" customHeight="1">
      <c r="B320" s="1255" t="s">
        <v>462</v>
      </c>
      <c r="C320" s="1194" t="s">
        <v>561</v>
      </c>
      <c r="D320" s="1254"/>
      <c r="E320" s="1182">
        <v>700</v>
      </c>
      <c r="F320" s="1250">
        <v>0</v>
      </c>
      <c r="G320" s="1250">
        <v>500</v>
      </c>
      <c r="H320" s="1250">
        <v>500</v>
      </c>
      <c r="I320" s="1250">
        <v>700</v>
      </c>
      <c r="J320" s="1182">
        <v>700</v>
      </c>
      <c r="K320" s="1182">
        <v>700</v>
      </c>
      <c r="L320" s="1159"/>
    </row>
    <row r="321" spans="2:12" s="1060" customFormat="1" ht="27" customHeight="1">
      <c r="B321" s="1195" t="s">
        <v>459</v>
      </c>
      <c r="C321" s="1194" t="s">
        <v>522</v>
      </c>
      <c r="D321" s="1183">
        <v>0</v>
      </c>
      <c r="E321" s="1182">
        <v>100</v>
      </c>
      <c r="F321" s="1250">
        <v>0</v>
      </c>
      <c r="G321" s="1250">
        <v>0</v>
      </c>
      <c r="H321" s="1250">
        <v>0</v>
      </c>
      <c r="I321" s="1250">
        <v>100</v>
      </c>
      <c r="J321" s="1182">
        <v>100</v>
      </c>
      <c r="K321" s="1182">
        <v>100</v>
      </c>
      <c r="L321" s="1189"/>
    </row>
    <row r="322" spans="2:12" s="1060" customFormat="1" ht="54.75" customHeight="1">
      <c r="B322" s="1195" t="s">
        <v>459</v>
      </c>
      <c r="C322" s="1194" t="s">
        <v>549</v>
      </c>
      <c r="D322" s="1182">
        <v>8</v>
      </c>
      <c r="E322" s="1182">
        <v>9</v>
      </c>
      <c r="F322" s="1250">
        <v>0</v>
      </c>
      <c r="G322" s="1250">
        <v>0</v>
      </c>
      <c r="H322" s="1250">
        <v>0</v>
      </c>
      <c r="I322" s="1250">
        <v>9</v>
      </c>
      <c r="J322" s="1182">
        <v>9</v>
      </c>
      <c r="K322" s="1182">
        <v>9</v>
      </c>
      <c r="L322" s="1189"/>
    </row>
    <row r="323" spans="2:12" ht="32.25" customHeight="1">
      <c r="B323" s="1195" t="s">
        <v>459</v>
      </c>
      <c r="C323" s="1194" t="s">
        <v>548</v>
      </c>
      <c r="D323" s="1253"/>
      <c r="E323" s="1182">
        <v>60</v>
      </c>
      <c r="F323" s="1250">
        <v>0</v>
      </c>
      <c r="G323" s="1250">
        <v>0</v>
      </c>
      <c r="H323" s="1250">
        <v>0</v>
      </c>
      <c r="I323" s="1250">
        <v>60</v>
      </c>
      <c r="J323" s="1182">
        <v>60</v>
      </c>
      <c r="K323" s="1182">
        <v>60</v>
      </c>
      <c r="L323" s="1159"/>
    </row>
    <row r="324" spans="2:12" ht="27.75" customHeight="1">
      <c r="B324" s="1195" t="s">
        <v>459</v>
      </c>
      <c r="C324" s="1194" t="s">
        <v>547</v>
      </c>
      <c r="D324" s="1182">
        <v>60</v>
      </c>
      <c r="E324" s="1191">
        <v>63</v>
      </c>
      <c r="F324" s="1250">
        <v>0</v>
      </c>
      <c r="G324" s="1250">
        <v>0</v>
      </c>
      <c r="H324" s="1250">
        <v>0</v>
      </c>
      <c r="I324" s="1250">
        <v>63</v>
      </c>
      <c r="J324" s="1191">
        <v>63</v>
      </c>
      <c r="K324" s="1191">
        <v>63</v>
      </c>
      <c r="L324" s="1159"/>
    </row>
    <row r="325" spans="2:12" ht="21" customHeight="1">
      <c r="B325" s="1231" t="s">
        <v>457</v>
      </c>
      <c r="C325" s="1164"/>
      <c r="D325" s="1282">
        <v>73869.100000000006</v>
      </c>
      <c r="E325" s="1282">
        <v>55404.9</v>
      </c>
      <c r="F325" s="1082">
        <f>I325*20%</f>
        <v>14152.98</v>
      </c>
      <c r="G325" s="1082">
        <f>I325*45%</f>
        <v>31844.204999999998</v>
      </c>
      <c r="H325" s="1082">
        <f>I325*70%</f>
        <v>49535.429999999993</v>
      </c>
      <c r="I325" s="1248">
        <v>70764.899999999994</v>
      </c>
      <c r="J325" s="1248">
        <v>70764.899999999994</v>
      </c>
      <c r="K325" s="1248">
        <v>70764.899999999994</v>
      </c>
      <c r="L325" s="1159"/>
    </row>
    <row r="326" spans="2:12" ht="33.75" customHeight="1">
      <c r="B326" s="1061"/>
      <c r="C326" s="1061"/>
      <c r="D326" s="1062"/>
      <c r="E326" s="1061"/>
      <c r="F326" s="1061"/>
      <c r="G326" s="1061"/>
      <c r="H326" s="1061"/>
      <c r="I326" s="1061"/>
    </row>
    <row r="327" spans="2:12" ht="20.25" customHeight="1">
      <c r="B327" s="1261" t="s">
        <v>487</v>
      </c>
      <c r="C327" s="1126" t="s">
        <v>486</v>
      </c>
      <c r="D327" s="2133"/>
      <c r="E327" s="2134"/>
      <c r="F327" s="2134"/>
      <c r="G327" s="2134"/>
      <c r="H327" s="2134"/>
      <c r="I327" s="2134"/>
    </row>
    <row r="328" spans="2:12" ht="25.5">
      <c r="B328" s="1261" t="s">
        <v>485</v>
      </c>
      <c r="C328" s="1178">
        <v>104006</v>
      </c>
      <c r="D328" s="2133"/>
      <c r="E328" s="2134"/>
      <c r="F328" s="2134"/>
      <c r="G328" s="2134"/>
      <c r="H328" s="2134"/>
      <c r="I328" s="2134"/>
    </row>
    <row r="329" spans="2:12" ht="17.25" customHeight="1">
      <c r="B329" s="1261" t="s">
        <v>484</v>
      </c>
      <c r="C329" s="1126" t="s">
        <v>454</v>
      </c>
      <c r="D329" s="2135"/>
      <c r="E329" s="2136"/>
      <c r="F329" s="2136"/>
      <c r="G329" s="2136"/>
      <c r="H329" s="2136"/>
      <c r="I329" s="2136"/>
    </row>
    <row r="330" spans="2:12" ht="17.25" customHeight="1">
      <c r="B330" s="1261" t="s">
        <v>482</v>
      </c>
      <c r="C330" s="1178">
        <v>1155</v>
      </c>
      <c r="D330" s="2111" t="s">
        <v>481</v>
      </c>
      <c r="E330" s="2112"/>
      <c r="F330" s="2112"/>
      <c r="G330" s="2112"/>
      <c r="H330" s="2112"/>
      <c r="I330" s="2112"/>
      <c r="J330" s="2112"/>
      <c r="K330" s="2112"/>
      <c r="L330" s="2113"/>
    </row>
    <row r="331" spans="2:12" ht="20.25" customHeight="1">
      <c r="B331" s="1261" t="s">
        <v>480</v>
      </c>
      <c r="C331" s="1178">
        <v>11009</v>
      </c>
      <c r="D331" s="2117" t="s">
        <v>479</v>
      </c>
      <c r="E331" s="2117" t="s">
        <v>478</v>
      </c>
      <c r="F331" s="2117" t="s">
        <v>477</v>
      </c>
      <c r="G331" s="2117" t="s">
        <v>476</v>
      </c>
      <c r="H331" s="2117" t="s">
        <v>475</v>
      </c>
      <c r="I331" s="2117" t="s">
        <v>445</v>
      </c>
      <c r="J331" s="2123" t="s">
        <v>474</v>
      </c>
      <c r="K331" s="2123" t="s">
        <v>473</v>
      </c>
      <c r="L331" s="2120" t="s">
        <v>472</v>
      </c>
    </row>
    <row r="332" spans="2:12" ht="42.75" customHeight="1">
      <c r="B332" s="1260" t="s">
        <v>350</v>
      </c>
      <c r="C332" s="1017" t="s">
        <v>560</v>
      </c>
      <c r="D332" s="2118"/>
      <c r="E332" s="2118"/>
      <c r="F332" s="2118"/>
      <c r="G332" s="2118"/>
      <c r="H332" s="2118"/>
      <c r="I332" s="2118"/>
      <c r="J332" s="2123"/>
      <c r="K332" s="2123"/>
      <c r="L332" s="2120"/>
    </row>
    <row r="333" spans="2:12" ht="39" customHeight="1">
      <c r="B333" s="1260" t="s">
        <v>471</v>
      </c>
      <c r="C333" s="1017" t="s">
        <v>559</v>
      </c>
      <c r="D333" s="2118"/>
      <c r="E333" s="2118"/>
      <c r="F333" s="2118"/>
      <c r="G333" s="2118"/>
      <c r="H333" s="2118"/>
      <c r="I333" s="2118"/>
      <c r="J333" s="2123"/>
      <c r="K333" s="2123"/>
      <c r="L333" s="2120"/>
    </row>
    <row r="334" spans="2:12" ht="18" customHeight="1">
      <c r="B334" s="1260" t="s">
        <v>346</v>
      </c>
      <c r="C334" s="1016" t="s">
        <v>345</v>
      </c>
      <c r="D334" s="2118"/>
      <c r="E334" s="2118"/>
      <c r="F334" s="2118"/>
      <c r="G334" s="2118"/>
      <c r="H334" s="2118"/>
      <c r="I334" s="2118"/>
      <c r="J334" s="2123"/>
      <c r="K334" s="2123"/>
      <c r="L334" s="2120"/>
    </row>
    <row r="335" spans="2:12" ht="18.75" customHeight="1">
      <c r="B335" s="1259" t="s">
        <v>512</v>
      </c>
      <c r="C335" s="1258" t="s">
        <v>467</v>
      </c>
      <c r="D335" s="2118"/>
      <c r="E335" s="2118"/>
      <c r="F335" s="2118"/>
      <c r="G335" s="2118"/>
      <c r="H335" s="2118"/>
      <c r="I335" s="2118"/>
      <c r="J335" s="2123"/>
      <c r="K335" s="2123"/>
      <c r="L335" s="2120"/>
    </row>
    <row r="336" spans="2:12">
      <c r="B336" s="1228"/>
      <c r="C336" s="1227" t="s">
        <v>466</v>
      </c>
      <c r="D336" s="2119"/>
      <c r="E336" s="2119"/>
      <c r="F336" s="2119"/>
      <c r="G336" s="2119"/>
      <c r="H336" s="2119"/>
      <c r="I336" s="2119"/>
      <c r="J336" s="2123"/>
      <c r="K336" s="2123"/>
      <c r="L336" s="2120"/>
    </row>
    <row r="337" spans="2:15" s="1262" customFormat="1" ht="54" customHeight="1">
      <c r="B337" s="1279" t="s">
        <v>462</v>
      </c>
      <c r="C337" s="1273" t="s">
        <v>553</v>
      </c>
      <c r="D337" s="1280">
        <v>150</v>
      </c>
      <c r="E337" s="1271">
        <v>150</v>
      </c>
      <c r="F337" s="1272">
        <v>150</v>
      </c>
      <c r="G337" s="1272">
        <v>150</v>
      </c>
      <c r="H337" s="1272">
        <v>150</v>
      </c>
      <c r="I337" s="1272">
        <v>150</v>
      </c>
      <c r="J337" s="1272">
        <v>150</v>
      </c>
      <c r="K337" s="1272">
        <v>150</v>
      </c>
      <c r="L337" s="1264"/>
      <c r="M337" s="1263"/>
      <c r="N337" s="1263"/>
      <c r="O337" s="1263"/>
    </row>
    <row r="338" spans="2:15" s="1262" customFormat="1" ht="27" customHeight="1">
      <c r="B338" s="1279" t="s">
        <v>462</v>
      </c>
      <c r="C338" s="1281" t="s">
        <v>552</v>
      </c>
      <c r="D338" s="1280">
        <v>2</v>
      </c>
      <c r="E338" s="1268">
        <v>4</v>
      </c>
      <c r="F338" s="1272">
        <v>1</v>
      </c>
      <c r="G338" s="1272">
        <v>2</v>
      </c>
      <c r="H338" s="1272">
        <v>3</v>
      </c>
      <c r="I338" s="1272">
        <v>4</v>
      </c>
      <c r="J338" s="1272">
        <v>4</v>
      </c>
      <c r="K338" s="1272">
        <v>4</v>
      </c>
      <c r="L338" s="1264"/>
      <c r="M338" s="1263"/>
      <c r="N338" s="1263"/>
      <c r="O338" s="1263"/>
    </row>
    <row r="339" spans="2:15" s="1262" customFormat="1" ht="30.75" customHeight="1">
      <c r="B339" s="1279" t="s">
        <v>462</v>
      </c>
      <c r="C339" s="1273" t="s">
        <v>551</v>
      </c>
      <c r="D339" s="1278"/>
      <c r="E339" s="1268">
        <v>6</v>
      </c>
      <c r="F339" s="1272">
        <v>1</v>
      </c>
      <c r="G339" s="1272">
        <v>3</v>
      </c>
      <c r="H339" s="1272">
        <v>5</v>
      </c>
      <c r="I339" s="1272">
        <v>6</v>
      </c>
      <c r="J339" s="1272">
        <v>6</v>
      </c>
      <c r="K339" s="1272">
        <v>6</v>
      </c>
      <c r="L339" s="1264"/>
      <c r="M339" s="1263"/>
      <c r="N339" s="1263"/>
      <c r="O339" s="1263"/>
    </row>
    <row r="340" spans="2:15" s="1262" customFormat="1" ht="18" customHeight="1">
      <c r="B340" s="1279" t="s">
        <v>462</v>
      </c>
      <c r="C340" s="1273" t="s">
        <v>558</v>
      </c>
      <c r="D340" s="1278"/>
      <c r="E340" s="1268">
        <v>2</v>
      </c>
      <c r="F340" s="1272">
        <v>0</v>
      </c>
      <c r="G340" s="1272">
        <v>1</v>
      </c>
      <c r="H340" s="1272">
        <v>1</v>
      </c>
      <c r="I340" s="1272">
        <v>2</v>
      </c>
      <c r="J340" s="1272">
        <v>2</v>
      </c>
      <c r="K340" s="1272">
        <v>2</v>
      </c>
      <c r="L340" s="1264"/>
      <c r="M340" s="1263"/>
      <c r="N340" s="1263"/>
      <c r="O340" s="1263"/>
    </row>
    <row r="341" spans="2:15" s="1262" customFormat="1" ht="17.25" customHeight="1">
      <c r="B341" s="1279" t="s">
        <v>462</v>
      </c>
      <c r="C341" s="1273" t="s">
        <v>557</v>
      </c>
      <c r="D341" s="1278"/>
      <c r="E341" s="1267">
        <v>0.5</v>
      </c>
      <c r="F341" s="1267"/>
      <c r="G341" s="1267">
        <v>0.5</v>
      </c>
      <c r="H341" s="1267">
        <v>0.5</v>
      </c>
      <c r="I341" s="1267">
        <v>0.5</v>
      </c>
      <c r="J341" s="1267">
        <v>0.5</v>
      </c>
      <c r="K341" s="1267">
        <v>0.5</v>
      </c>
      <c r="L341" s="1264"/>
      <c r="M341" s="1263"/>
      <c r="N341" s="1263"/>
      <c r="O341" s="1263"/>
    </row>
    <row r="342" spans="2:15" s="1263" customFormat="1" ht="27" customHeight="1">
      <c r="B342" s="1274" t="s">
        <v>459</v>
      </c>
      <c r="C342" s="1273" t="s">
        <v>522</v>
      </c>
      <c r="D342" s="1277">
        <v>0</v>
      </c>
      <c r="E342" s="1268">
        <v>100</v>
      </c>
      <c r="F342" s="1272">
        <v>0</v>
      </c>
      <c r="G342" s="1272">
        <v>0</v>
      </c>
      <c r="H342" s="1272">
        <v>0</v>
      </c>
      <c r="I342" s="1272">
        <v>100</v>
      </c>
      <c r="J342" s="1268">
        <v>100</v>
      </c>
      <c r="K342" s="1268">
        <v>100</v>
      </c>
      <c r="L342" s="1276"/>
    </row>
    <row r="343" spans="2:15" s="1263" customFormat="1" ht="54.75" customHeight="1">
      <c r="B343" s="1274" t="s">
        <v>459</v>
      </c>
      <c r="C343" s="1273" t="s">
        <v>549</v>
      </c>
      <c r="D343" s="1268">
        <v>8</v>
      </c>
      <c r="E343" s="1268">
        <v>9</v>
      </c>
      <c r="F343" s="1272">
        <v>0</v>
      </c>
      <c r="G343" s="1272">
        <v>0</v>
      </c>
      <c r="H343" s="1272">
        <v>0</v>
      </c>
      <c r="I343" s="1268">
        <v>9</v>
      </c>
      <c r="J343" s="1268">
        <v>9</v>
      </c>
      <c r="K343" s="1268">
        <v>9</v>
      </c>
      <c r="L343" s="1276"/>
    </row>
    <row r="344" spans="2:15" s="1262" customFormat="1" ht="32.25" customHeight="1">
      <c r="B344" s="1274" t="s">
        <v>459</v>
      </c>
      <c r="C344" s="1273" t="s">
        <v>556</v>
      </c>
      <c r="D344" s="1275"/>
      <c r="E344" s="1268">
        <v>70</v>
      </c>
      <c r="F344" s="1272">
        <v>0</v>
      </c>
      <c r="G344" s="1272">
        <v>0</v>
      </c>
      <c r="H344" s="1272">
        <v>0</v>
      </c>
      <c r="I344" s="1268">
        <v>70</v>
      </c>
      <c r="J344" s="1268">
        <v>70</v>
      </c>
      <c r="K344" s="1268">
        <v>70</v>
      </c>
      <c r="L344" s="1264"/>
      <c r="M344" s="1263"/>
      <c r="N344" s="1263"/>
      <c r="O344" s="1263"/>
    </row>
    <row r="345" spans="2:15" s="1262" customFormat="1" ht="39.75" customHeight="1">
      <c r="B345" s="1274" t="s">
        <v>459</v>
      </c>
      <c r="C345" s="1273" t="s">
        <v>547</v>
      </c>
      <c r="D345" s="1268">
        <v>60</v>
      </c>
      <c r="E345" s="1271">
        <v>62</v>
      </c>
      <c r="F345" s="1272">
        <v>0</v>
      </c>
      <c r="G345" s="1272">
        <v>0</v>
      </c>
      <c r="H345" s="1272">
        <v>0</v>
      </c>
      <c r="I345" s="1271">
        <v>62</v>
      </c>
      <c r="J345" s="1271">
        <v>62</v>
      </c>
      <c r="K345" s="1271">
        <v>62</v>
      </c>
      <c r="L345" s="1264"/>
      <c r="M345" s="1263"/>
      <c r="N345" s="1263"/>
      <c r="O345" s="1263"/>
    </row>
    <row r="346" spans="2:15" s="1262" customFormat="1" ht="24.75" customHeight="1">
      <c r="B346" s="1270" t="s">
        <v>457</v>
      </c>
      <c r="C346" s="1269"/>
      <c r="D346" s="1268">
        <v>15102.2</v>
      </c>
      <c r="E346" s="1268">
        <v>16026.6</v>
      </c>
      <c r="F346" s="1082">
        <f>I346*20%</f>
        <v>3205.32</v>
      </c>
      <c r="G346" s="1082">
        <f>I346*45%</f>
        <v>7211.97</v>
      </c>
      <c r="H346" s="1082">
        <f>I346*70%</f>
        <v>11218.619999999999</v>
      </c>
      <c r="I346" s="1267">
        <v>16026.6</v>
      </c>
      <c r="J346" s="1266" t="s">
        <v>555</v>
      </c>
      <c r="K346" s="1265" t="s">
        <v>555</v>
      </c>
      <c r="L346" s="1264"/>
      <c r="M346" s="1263"/>
      <c r="N346" s="1263"/>
      <c r="O346" s="1263"/>
    </row>
    <row r="347" spans="2:15" ht="60" customHeight="1">
      <c r="B347" s="1061"/>
      <c r="C347" s="1061"/>
      <c r="D347" s="1061"/>
      <c r="E347" s="1061"/>
      <c r="F347" s="1061"/>
      <c r="G347" s="1061"/>
      <c r="H347" s="1061"/>
      <c r="I347" s="1061"/>
    </row>
    <row r="348" spans="2:15" ht="15" customHeight="1">
      <c r="B348" s="1261" t="s">
        <v>487</v>
      </c>
      <c r="C348" s="1126" t="s">
        <v>486</v>
      </c>
      <c r="D348" s="2133"/>
      <c r="E348" s="2134"/>
      <c r="F348" s="2134"/>
      <c r="G348" s="2134"/>
      <c r="H348" s="2134"/>
      <c r="I348" s="2134"/>
    </row>
    <row r="349" spans="2:15" ht="25.5">
      <c r="B349" s="1261" t="s">
        <v>485</v>
      </c>
      <c r="C349" s="1178">
        <v>104006</v>
      </c>
      <c r="D349" s="2133"/>
      <c r="E349" s="2134"/>
      <c r="F349" s="2134"/>
      <c r="G349" s="2134"/>
      <c r="H349" s="2134"/>
      <c r="I349" s="2134"/>
    </row>
    <row r="350" spans="2:15">
      <c r="B350" s="1261" t="s">
        <v>484</v>
      </c>
      <c r="C350" s="1126" t="s">
        <v>454</v>
      </c>
      <c r="D350" s="2135"/>
      <c r="E350" s="2136"/>
      <c r="F350" s="2136"/>
      <c r="G350" s="2136"/>
      <c r="H350" s="2136"/>
      <c r="I350" s="2136"/>
    </row>
    <row r="351" spans="2:15">
      <c r="B351" s="1261" t="s">
        <v>482</v>
      </c>
      <c r="C351" s="1178">
        <v>1155</v>
      </c>
      <c r="D351" s="2111" t="s">
        <v>481</v>
      </c>
      <c r="E351" s="2112"/>
      <c r="F351" s="2112"/>
      <c r="G351" s="2112"/>
      <c r="H351" s="2112"/>
      <c r="I351" s="2112"/>
      <c r="J351" s="2112"/>
      <c r="K351" s="2112"/>
      <c r="L351" s="2113"/>
    </row>
    <row r="352" spans="2:15" ht="12.75" customHeight="1">
      <c r="B352" s="1261" t="s">
        <v>480</v>
      </c>
      <c r="C352" s="1178">
        <v>11010</v>
      </c>
      <c r="D352" s="2117" t="s">
        <v>479</v>
      </c>
      <c r="E352" s="2117" t="s">
        <v>478</v>
      </c>
      <c r="F352" s="2117" t="s">
        <v>477</v>
      </c>
      <c r="G352" s="2117" t="s">
        <v>476</v>
      </c>
      <c r="H352" s="2117" t="s">
        <v>475</v>
      </c>
      <c r="I352" s="2117" t="s">
        <v>445</v>
      </c>
      <c r="J352" s="2123" t="s">
        <v>474</v>
      </c>
      <c r="K352" s="2123" t="s">
        <v>473</v>
      </c>
      <c r="L352" s="2120" t="s">
        <v>472</v>
      </c>
    </row>
    <row r="353" spans="1:15" ht="38.25">
      <c r="B353" s="1260" t="s">
        <v>350</v>
      </c>
      <c r="C353" s="1126" t="s">
        <v>393</v>
      </c>
      <c r="D353" s="2118"/>
      <c r="E353" s="2118"/>
      <c r="F353" s="2118"/>
      <c r="G353" s="2118"/>
      <c r="H353" s="2118"/>
      <c r="I353" s="2118"/>
      <c r="J353" s="2123"/>
      <c r="K353" s="2123"/>
      <c r="L353" s="2120"/>
    </row>
    <row r="354" spans="1:15" ht="39" customHeight="1">
      <c r="B354" s="1260" t="s">
        <v>471</v>
      </c>
      <c r="C354" s="1016" t="s">
        <v>554</v>
      </c>
      <c r="D354" s="2118"/>
      <c r="E354" s="2118"/>
      <c r="F354" s="2118"/>
      <c r="G354" s="2118"/>
      <c r="H354" s="2118"/>
      <c r="I354" s="2118"/>
      <c r="J354" s="2123"/>
      <c r="K354" s="2123"/>
      <c r="L354" s="2120"/>
    </row>
    <row r="355" spans="1:15">
      <c r="B355" s="1260" t="s">
        <v>346</v>
      </c>
      <c r="C355" s="1016" t="s">
        <v>345</v>
      </c>
      <c r="D355" s="2118"/>
      <c r="E355" s="2118"/>
      <c r="F355" s="2118"/>
      <c r="G355" s="2118"/>
      <c r="H355" s="2118"/>
      <c r="I355" s="2118"/>
      <c r="J355" s="2123"/>
      <c r="K355" s="2123"/>
      <c r="L355" s="2120"/>
    </row>
    <row r="356" spans="1:15" ht="15" customHeight="1">
      <c r="B356" s="1259" t="s">
        <v>512</v>
      </c>
      <c r="C356" s="1258" t="s">
        <v>467</v>
      </c>
      <c r="D356" s="2118"/>
      <c r="E356" s="2118"/>
      <c r="F356" s="2118"/>
      <c r="G356" s="2118"/>
      <c r="H356" s="2118"/>
      <c r="I356" s="2118"/>
      <c r="J356" s="2123"/>
      <c r="K356" s="2123"/>
      <c r="L356" s="2120"/>
    </row>
    <row r="357" spans="1:15">
      <c r="B357" s="1228"/>
      <c r="C357" s="1227" t="s">
        <v>466</v>
      </c>
      <c r="D357" s="2119"/>
      <c r="E357" s="2119"/>
      <c r="F357" s="2119"/>
      <c r="G357" s="2119"/>
      <c r="H357" s="2119"/>
      <c r="I357" s="2119"/>
      <c r="J357" s="2123"/>
      <c r="K357" s="2123"/>
      <c r="L357" s="2120"/>
    </row>
    <row r="358" spans="1:15" ht="51">
      <c r="B358" s="1255" t="s">
        <v>462</v>
      </c>
      <c r="C358" s="1194" t="s">
        <v>553</v>
      </c>
      <c r="D358" s="1257">
        <v>79038.8</v>
      </c>
      <c r="E358" s="1248">
        <v>79038.8</v>
      </c>
      <c r="F358" s="1248">
        <v>79038.8</v>
      </c>
      <c r="G358" s="1248">
        <v>79038.8</v>
      </c>
      <c r="H358" s="1248">
        <v>79038.8</v>
      </c>
      <c r="I358" s="1248">
        <v>79038.8</v>
      </c>
      <c r="J358" s="1248">
        <v>79038.8</v>
      </c>
      <c r="K358" s="1248">
        <v>79038.8</v>
      </c>
      <c r="L358" s="1159"/>
    </row>
    <row r="359" spans="1:15" ht="27.75" customHeight="1">
      <c r="B359" s="1255" t="s">
        <v>462</v>
      </c>
      <c r="C359" s="1256" t="s">
        <v>552</v>
      </c>
      <c r="D359" s="1251">
        <v>4</v>
      </c>
      <c r="E359" s="1251">
        <v>4</v>
      </c>
      <c r="F359" s="1250">
        <v>1</v>
      </c>
      <c r="G359" s="1250">
        <v>2</v>
      </c>
      <c r="H359" s="1250">
        <v>3</v>
      </c>
      <c r="I359" s="1250">
        <v>4</v>
      </c>
      <c r="J359" s="1190">
        <v>4</v>
      </c>
      <c r="K359" s="1160">
        <v>4</v>
      </c>
      <c r="L359" s="1159"/>
    </row>
    <row r="360" spans="1:15" ht="30.75" customHeight="1">
      <c r="B360" s="1255" t="s">
        <v>462</v>
      </c>
      <c r="C360" s="1194" t="s">
        <v>551</v>
      </c>
      <c r="D360" s="1254"/>
      <c r="E360" s="1182">
        <v>22</v>
      </c>
      <c r="F360" s="1250">
        <v>6</v>
      </c>
      <c r="G360" s="1250">
        <v>12</v>
      </c>
      <c r="H360" s="1250">
        <v>16</v>
      </c>
      <c r="I360" s="1250">
        <v>22</v>
      </c>
      <c r="J360" s="1190">
        <v>22</v>
      </c>
      <c r="K360" s="1160">
        <v>22</v>
      </c>
      <c r="L360" s="1159"/>
    </row>
    <row r="361" spans="1:15" ht="30.75" customHeight="1">
      <c r="B361" s="1255" t="s">
        <v>462</v>
      </c>
      <c r="C361" s="1194" t="s">
        <v>550</v>
      </c>
      <c r="D361" s="1254"/>
      <c r="E361" s="1182">
        <v>2000</v>
      </c>
      <c r="F361" s="1250">
        <v>0</v>
      </c>
      <c r="G361" s="1250">
        <v>1000</v>
      </c>
      <c r="H361" s="1250">
        <v>1000</v>
      </c>
      <c r="I361" s="1250">
        <v>2000</v>
      </c>
      <c r="J361" s="1190">
        <v>2000</v>
      </c>
      <c r="K361" s="1160">
        <v>2000</v>
      </c>
      <c r="L361" s="1159"/>
    </row>
    <row r="362" spans="1:15" s="1060" customFormat="1" ht="27" customHeight="1">
      <c r="B362" s="1195" t="s">
        <v>459</v>
      </c>
      <c r="C362" s="1194" t="s">
        <v>522</v>
      </c>
      <c r="D362" s="1183">
        <v>0</v>
      </c>
      <c r="E362" s="1182">
        <v>100</v>
      </c>
      <c r="F362" s="1250">
        <v>0</v>
      </c>
      <c r="G362" s="1250">
        <v>0</v>
      </c>
      <c r="H362" s="1250">
        <v>0</v>
      </c>
      <c r="I362" s="1250">
        <v>100</v>
      </c>
      <c r="J362" s="1190">
        <v>100</v>
      </c>
      <c r="K362" s="1190">
        <v>100</v>
      </c>
      <c r="L362" s="1189"/>
    </row>
    <row r="363" spans="1:15" s="1060" customFormat="1" ht="51.75" customHeight="1">
      <c r="B363" s="1195" t="s">
        <v>459</v>
      </c>
      <c r="C363" s="1194" t="s">
        <v>549</v>
      </c>
      <c r="D363" s="1182">
        <v>8</v>
      </c>
      <c r="E363" s="1182">
        <v>9</v>
      </c>
      <c r="F363" s="1250">
        <v>0</v>
      </c>
      <c r="G363" s="1250">
        <v>0</v>
      </c>
      <c r="H363" s="1250">
        <v>0</v>
      </c>
      <c r="I363" s="1250">
        <v>9</v>
      </c>
      <c r="J363" s="1190">
        <v>9</v>
      </c>
      <c r="K363" s="1190">
        <v>9</v>
      </c>
      <c r="L363" s="1189"/>
    </row>
    <row r="364" spans="1:15" ht="27" customHeight="1">
      <c r="B364" s="1195" t="s">
        <v>459</v>
      </c>
      <c r="C364" s="1194" t="s">
        <v>548</v>
      </c>
      <c r="D364" s="1253"/>
      <c r="E364" s="1182">
        <v>60</v>
      </c>
      <c r="F364" s="1250">
        <v>0</v>
      </c>
      <c r="G364" s="1250">
        <v>0</v>
      </c>
      <c r="H364" s="1250">
        <v>0</v>
      </c>
      <c r="I364" s="1250">
        <v>60</v>
      </c>
      <c r="J364" s="1190">
        <v>60</v>
      </c>
      <c r="K364" s="1160">
        <v>60</v>
      </c>
      <c r="L364" s="1159"/>
    </row>
    <row r="365" spans="1:15" ht="37.5" customHeight="1">
      <c r="B365" s="1195" t="s">
        <v>459</v>
      </c>
      <c r="C365" s="1194" t="s">
        <v>547</v>
      </c>
      <c r="D365" s="1252">
        <v>60</v>
      </c>
      <c r="E365" s="1251">
        <v>65</v>
      </c>
      <c r="F365" s="1250">
        <v>0</v>
      </c>
      <c r="G365" s="1250">
        <v>0</v>
      </c>
      <c r="H365" s="1250">
        <v>0</v>
      </c>
      <c r="I365" s="1250">
        <v>65</v>
      </c>
      <c r="J365" s="1190">
        <v>65</v>
      </c>
      <c r="K365" s="1160">
        <v>65</v>
      </c>
      <c r="L365" s="1159"/>
    </row>
    <row r="366" spans="1:15" ht="15" customHeight="1">
      <c r="B366" s="1231" t="s">
        <v>457</v>
      </c>
      <c r="C366" s="1164"/>
      <c r="D366" s="1249">
        <v>201288.2</v>
      </c>
      <c r="E366" s="1249">
        <v>169524.2</v>
      </c>
      <c r="F366" s="1082">
        <f>I366*20%</f>
        <v>33904.840000000004</v>
      </c>
      <c r="G366" s="1082">
        <f>I366*45%</f>
        <v>76285.890000000014</v>
      </c>
      <c r="H366" s="1082">
        <f>I366*70%</f>
        <v>118666.94</v>
      </c>
      <c r="I366" s="1248">
        <v>169524.2</v>
      </c>
      <c r="J366" s="1190">
        <v>169524.2</v>
      </c>
      <c r="K366" s="1161">
        <v>169524.2</v>
      </c>
      <c r="L366" s="1159"/>
    </row>
    <row r="367" spans="1:15" ht="10.5" customHeight="1">
      <c r="B367" s="1061"/>
      <c r="C367" s="1061"/>
      <c r="D367" s="1061"/>
      <c r="E367" s="1061"/>
      <c r="F367" s="1061"/>
      <c r="G367" s="1061"/>
      <c r="H367" s="1061"/>
      <c r="I367" s="1061"/>
    </row>
    <row r="368" spans="1:15" s="1244" customFormat="1" ht="14.25">
      <c r="A368" s="1245"/>
      <c r="B368" s="1247" t="s">
        <v>487</v>
      </c>
      <c r="C368" s="1092" t="s">
        <v>486</v>
      </c>
      <c r="D368" s="1241"/>
      <c r="E368" s="1241"/>
      <c r="F368" s="1245"/>
      <c r="G368" s="1245"/>
      <c r="H368" s="1245"/>
      <c r="I368" s="1245"/>
      <c r="J368" s="1102"/>
      <c r="M368" s="1102"/>
      <c r="N368" s="1102"/>
      <c r="O368" s="1102"/>
    </row>
    <row r="369" spans="1:15" s="1244" customFormat="1" ht="24" customHeight="1">
      <c r="A369" s="1245"/>
      <c r="B369" s="1247" t="s">
        <v>485</v>
      </c>
      <c r="C369" s="1242">
        <v>104006</v>
      </c>
      <c r="D369" s="1245"/>
      <c r="E369" s="1245"/>
      <c r="F369" s="1245"/>
      <c r="G369" s="1245"/>
      <c r="H369" s="1245" t="s">
        <v>428</v>
      </c>
      <c r="I369" s="1245"/>
      <c r="J369" s="1102"/>
      <c r="M369" s="1102"/>
      <c r="N369" s="1102"/>
      <c r="O369" s="1102"/>
    </row>
    <row r="370" spans="1:15" s="1244" customFormat="1">
      <c r="A370" s="1245"/>
      <c r="B370" s="1247" t="s">
        <v>484</v>
      </c>
      <c r="C370" s="1246" t="s">
        <v>454</v>
      </c>
      <c r="D370" s="1245"/>
      <c r="E370" s="1245"/>
      <c r="F370" s="1245"/>
      <c r="G370" s="1245"/>
      <c r="H370" s="1245"/>
      <c r="I370" s="1245"/>
      <c r="J370" s="1102"/>
      <c r="M370" s="1102"/>
      <c r="N370" s="1102"/>
      <c r="O370" s="1102"/>
    </row>
    <row r="371" spans="1:15" s="1239" customFormat="1" ht="13.5" customHeight="1">
      <c r="A371" s="1241"/>
      <c r="B371" s="1240" t="s">
        <v>482</v>
      </c>
      <c r="C371" s="1243">
        <v>1155</v>
      </c>
      <c r="D371" s="2111" t="s">
        <v>481</v>
      </c>
      <c r="E371" s="2112"/>
      <c r="F371" s="2112"/>
      <c r="G371" s="2112"/>
      <c r="H371" s="2112"/>
      <c r="I371" s="2112"/>
      <c r="J371" s="2112"/>
      <c r="K371" s="2112"/>
      <c r="L371" s="2113"/>
      <c r="M371" s="1008"/>
      <c r="N371" s="1008"/>
      <c r="O371" s="1008"/>
    </row>
    <row r="372" spans="1:15" s="1239" customFormat="1" ht="12" customHeight="1">
      <c r="A372" s="1241"/>
      <c r="B372" s="1240" t="s">
        <v>480</v>
      </c>
      <c r="C372" s="1242">
        <v>12001</v>
      </c>
      <c r="D372" s="2117" t="s">
        <v>479</v>
      </c>
      <c r="E372" s="2117" t="s">
        <v>478</v>
      </c>
      <c r="F372" s="2117" t="s">
        <v>477</v>
      </c>
      <c r="G372" s="2117" t="s">
        <v>476</v>
      </c>
      <c r="H372" s="2117" t="s">
        <v>475</v>
      </c>
      <c r="I372" s="2117" t="s">
        <v>445</v>
      </c>
      <c r="J372" s="2123" t="s">
        <v>474</v>
      </c>
      <c r="K372" s="2123" t="s">
        <v>473</v>
      </c>
      <c r="L372" s="2120" t="s">
        <v>472</v>
      </c>
      <c r="M372" s="1008"/>
      <c r="N372" s="1008"/>
      <c r="O372" s="1008"/>
    </row>
    <row r="373" spans="1:15" s="1239" customFormat="1" ht="24.75" customHeight="1">
      <c r="A373" s="1241"/>
      <c r="B373" s="1240" t="s">
        <v>350</v>
      </c>
      <c r="C373" s="1123" t="s">
        <v>391</v>
      </c>
      <c r="D373" s="2118"/>
      <c r="E373" s="2118"/>
      <c r="F373" s="2118"/>
      <c r="G373" s="2118"/>
      <c r="H373" s="2118"/>
      <c r="I373" s="2118"/>
      <c r="J373" s="2123"/>
      <c r="K373" s="2123"/>
      <c r="L373" s="2120"/>
      <c r="M373" s="1008"/>
      <c r="N373" s="1008"/>
      <c r="O373" s="1008"/>
    </row>
    <row r="374" spans="1:15" s="1077" customFormat="1" ht="38.25" customHeight="1">
      <c r="A374" s="1083"/>
      <c r="B374" s="1235" t="s">
        <v>471</v>
      </c>
      <c r="C374" s="1123" t="s">
        <v>390</v>
      </c>
      <c r="D374" s="2118"/>
      <c r="E374" s="2118"/>
      <c r="F374" s="2118"/>
      <c r="G374" s="2118"/>
      <c r="H374" s="2118"/>
      <c r="I374" s="2118"/>
      <c r="J374" s="2123"/>
      <c r="K374" s="2123"/>
      <c r="L374" s="2120"/>
      <c r="M374" s="1078"/>
      <c r="N374" s="1078"/>
      <c r="O374" s="1078"/>
    </row>
    <row r="375" spans="1:15" s="1077" customFormat="1" ht="12.75" customHeight="1">
      <c r="A375" s="1083"/>
      <c r="B375" s="1238" t="s">
        <v>469</v>
      </c>
      <c r="C375" s="1123" t="s">
        <v>387</v>
      </c>
      <c r="D375" s="2118"/>
      <c r="E375" s="2118"/>
      <c r="F375" s="2118"/>
      <c r="G375" s="2118"/>
      <c r="H375" s="2118"/>
      <c r="I375" s="2118"/>
      <c r="J375" s="2123"/>
      <c r="K375" s="2123"/>
      <c r="L375" s="2120"/>
      <c r="M375" s="1078"/>
      <c r="N375" s="1078"/>
      <c r="O375" s="1078"/>
    </row>
    <row r="376" spans="1:15" s="1077" customFormat="1" ht="26.25" customHeight="1">
      <c r="A376" s="1083"/>
      <c r="B376" s="1237" t="s">
        <v>546</v>
      </c>
      <c r="C376" s="1124" t="s">
        <v>545</v>
      </c>
      <c r="D376" s="2118"/>
      <c r="E376" s="2118"/>
      <c r="F376" s="2118"/>
      <c r="G376" s="2118"/>
      <c r="H376" s="2118"/>
      <c r="I376" s="2118"/>
      <c r="J376" s="2123"/>
      <c r="K376" s="2123"/>
      <c r="L376" s="2120"/>
      <c r="M376" s="1078"/>
      <c r="N376" s="1078"/>
      <c r="O376" s="1078"/>
    </row>
    <row r="377" spans="1:15" s="1077" customFormat="1" ht="12.75" customHeight="1">
      <c r="A377" s="1083"/>
      <c r="B377" s="1236"/>
      <c r="C377" s="1235" t="s">
        <v>466</v>
      </c>
      <c r="D377" s="2119"/>
      <c r="E377" s="2119"/>
      <c r="F377" s="2119"/>
      <c r="G377" s="2119"/>
      <c r="H377" s="2119"/>
      <c r="I377" s="2119"/>
      <c r="J377" s="2123"/>
      <c r="K377" s="2123"/>
      <c r="L377" s="2120"/>
      <c r="M377" s="1078"/>
      <c r="N377" s="1078"/>
      <c r="O377" s="1078"/>
    </row>
    <row r="378" spans="1:15" s="1091" customFormat="1" ht="14.25" customHeight="1">
      <c r="A378" s="1094"/>
      <c r="B378" s="1234" t="s">
        <v>462</v>
      </c>
      <c r="C378" s="1233" t="s">
        <v>544</v>
      </c>
      <c r="D378" s="1080">
        <v>1</v>
      </c>
      <c r="E378" s="1214">
        <v>1</v>
      </c>
      <c r="F378" s="1232"/>
      <c r="G378" s="1232"/>
      <c r="H378" s="1232"/>
      <c r="I378" s="1214">
        <v>1</v>
      </c>
      <c r="J378" s="1214">
        <v>1</v>
      </c>
      <c r="K378" s="1214">
        <v>1</v>
      </c>
      <c r="L378" s="1110"/>
      <c r="M378" s="1078"/>
      <c r="N378" s="1078"/>
      <c r="O378" s="1078"/>
    </row>
    <row r="379" spans="1:15" s="1091" customFormat="1" ht="14.25" customHeight="1">
      <c r="A379" s="1094"/>
      <c r="B379" s="1231" t="s">
        <v>457</v>
      </c>
      <c r="C379" s="1230"/>
      <c r="D379" s="1082">
        <v>7000</v>
      </c>
      <c r="E379" s="1082">
        <v>7000</v>
      </c>
      <c r="F379" s="1082">
        <f>I379*20%</f>
        <v>1400</v>
      </c>
      <c r="G379" s="1082">
        <f>I379*45%</f>
        <v>3150</v>
      </c>
      <c r="H379" s="1082">
        <f>I379*70%</f>
        <v>4900</v>
      </c>
      <c r="I379" s="1082">
        <v>7000</v>
      </c>
      <c r="J379" s="1188">
        <v>7000</v>
      </c>
      <c r="K379" s="1188">
        <v>7000</v>
      </c>
      <c r="L379" s="1110"/>
      <c r="M379" s="1078"/>
      <c r="N379" s="1078"/>
      <c r="O379" s="1078"/>
    </row>
    <row r="380" spans="1:15" s="1078" customFormat="1" ht="17.25" customHeight="1">
      <c r="A380" s="1128"/>
      <c r="B380" s="1202"/>
      <c r="C380" s="1202"/>
      <c r="D380" s="1200"/>
      <c r="E380" s="1200"/>
      <c r="F380" s="1200"/>
      <c r="G380" s="1200"/>
      <c r="H380" s="1200"/>
      <c r="I380" s="1200"/>
    </row>
    <row r="381" spans="1:15" s="1102" customFormat="1" ht="14.25">
      <c r="A381" s="1104"/>
      <c r="B381" s="1224" t="s">
        <v>487</v>
      </c>
      <c r="C381" s="1225" t="s">
        <v>486</v>
      </c>
      <c r="D381" s="1107"/>
      <c r="E381" s="1107"/>
      <c r="F381" s="1104"/>
      <c r="G381" s="1104"/>
      <c r="H381" s="1104"/>
      <c r="I381" s="1104"/>
    </row>
    <row r="382" spans="1:15" s="1102" customFormat="1" ht="25.5">
      <c r="A382" s="1104"/>
      <c r="B382" s="1224" t="s">
        <v>485</v>
      </c>
      <c r="C382" s="1127">
        <v>104006</v>
      </c>
      <c r="D382" s="1104"/>
      <c r="E382" s="1104"/>
      <c r="F382" s="1104"/>
      <c r="G382" s="1104"/>
      <c r="H382" s="1104"/>
      <c r="I382" s="1104"/>
    </row>
    <row r="383" spans="1:15" s="1102" customFormat="1">
      <c r="A383" s="1104"/>
      <c r="B383" s="1224" t="s">
        <v>484</v>
      </c>
      <c r="C383" s="1105" t="s">
        <v>454</v>
      </c>
      <c r="D383" s="1104"/>
      <c r="E383" s="1104"/>
      <c r="F383" s="1104"/>
      <c r="G383" s="1104"/>
      <c r="H383" s="1104"/>
      <c r="I383" s="1104"/>
    </row>
    <row r="384" spans="1:15" s="1008" customFormat="1" ht="18" customHeight="1">
      <c r="A384" s="1107"/>
      <c r="B384" s="1222" t="s">
        <v>482</v>
      </c>
      <c r="C384" s="1140">
        <v>1155</v>
      </c>
      <c r="D384" s="2111" t="s">
        <v>481</v>
      </c>
      <c r="E384" s="2112"/>
      <c r="F384" s="2112"/>
      <c r="G384" s="2112"/>
      <c r="H384" s="2112"/>
      <c r="I384" s="2112"/>
      <c r="J384" s="2112"/>
      <c r="K384" s="2112"/>
      <c r="L384" s="2113"/>
    </row>
    <row r="385" spans="1:15" s="1008" customFormat="1" ht="15" customHeight="1">
      <c r="A385" s="1107"/>
      <c r="B385" s="1222" t="s">
        <v>480</v>
      </c>
      <c r="C385" s="1223">
        <v>12002</v>
      </c>
      <c r="D385" s="2117" t="s">
        <v>479</v>
      </c>
      <c r="E385" s="2117" t="s">
        <v>478</v>
      </c>
      <c r="F385" s="2117" t="s">
        <v>477</v>
      </c>
      <c r="G385" s="2117" t="s">
        <v>476</v>
      </c>
      <c r="H385" s="2117" t="s">
        <v>475</v>
      </c>
      <c r="I385" s="2117" t="s">
        <v>445</v>
      </c>
      <c r="J385" s="2123" t="s">
        <v>474</v>
      </c>
      <c r="K385" s="2123" t="s">
        <v>473</v>
      </c>
      <c r="L385" s="2120"/>
    </row>
    <row r="386" spans="1:15" s="1008" customFormat="1" ht="67.5" customHeight="1">
      <c r="A386" s="1107"/>
      <c r="B386" s="1222" t="s">
        <v>350</v>
      </c>
      <c r="C386" s="1139" t="s">
        <v>389</v>
      </c>
      <c r="D386" s="2118"/>
      <c r="E386" s="2118"/>
      <c r="F386" s="2118"/>
      <c r="G386" s="2118"/>
      <c r="H386" s="2118"/>
      <c r="I386" s="2118"/>
      <c r="J386" s="2123"/>
      <c r="K386" s="2123"/>
      <c r="L386" s="2120"/>
    </row>
    <row r="387" spans="1:15" s="1078" customFormat="1" ht="43.5" customHeight="1">
      <c r="A387" s="1128"/>
      <c r="B387" s="1212" t="s">
        <v>471</v>
      </c>
      <c r="C387" s="1139" t="s">
        <v>388</v>
      </c>
      <c r="D387" s="2118"/>
      <c r="E387" s="2118"/>
      <c r="F387" s="2118"/>
      <c r="G387" s="2118"/>
      <c r="H387" s="2118"/>
      <c r="I387" s="2118"/>
      <c r="J387" s="2123"/>
      <c r="K387" s="2123"/>
      <c r="L387" s="2120"/>
    </row>
    <row r="388" spans="1:15" s="1078" customFormat="1" ht="27.75" customHeight="1">
      <c r="A388" s="1128"/>
      <c r="B388" s="1221" t="s">
        <v>346</v>
      </c>
      <c r="C388" s="1124" t="s">
        <v>387</v>
      </c>
      <c r="D388" s="2118"/>
      <c r="E388" s="2118"/>
      <c r="F388" s="2118"/>
      <c r="G388" s="2118"/>
      <c r="H388" s="2118"/>
      <c r="I388" s="2118"/>
      <c r="J388" s="2123"/>
      <c r="K388" s="2123"/>
      <c r="L388" s="2120"/>
    </row>
    <row r="389" spans="1:15" s="1078" customFormat="1" ht="30.75" customHeight="1">
      <c r="A389" s="1128"/>
      <c r="B389" s="1229" t="s">
        <v>543</v>
      </c>
      <c r="C389" s="1124" t="s">
        <v>542</v>
      </c>
      <c r="D389" s="2118"/>
      <c r="E389" s="2118"/>
      <c r="F389" s="2118"/>
      <c r="G389" s="2118"/>
      <c r="H389" s="2118"/>
      <c r="I389" s="2118"/>
      <c r="J389" s="2123"/>
      <c r="K389" s="2123"/>
      <c r="L389" s="2120"/>
    </row>
    <row r="390" spans="1:15">
      <c r="B390" s="1228"/>
      <c r="C390" s="1227" t="s">
        <v>466</v>
      </c>
      <c r="D390" s="2119"/>
      <c r="E390" s="2119"/>
      <c r="F390" s="2119"/>
      <c r="G390" s="2119"/>
      <c r="H390" s="2119"/>
      <c r="I390" s="2119"/>
      <c r="J390" s="2123"/>
      <c r="K390" s="2123"/>
      <c r="L390" s="2120"/>
    </row>
    <row r="391" spans="1:15" s="1078" customFormat="1" ht="53.25" customHeight="1">
      <c r="A391" s="1128"/>
      <c r="B391" s="1216" t="s">
        <v>462</v>
      </c>
      <c r="C391" s="1217" t="s">
        <v>541</v>
      </c>
      <c r="D391" s="1080">
        <v>0</v>
      </c>
      <c r="E391" s="1080">
        <v>3</v>
      </c>
      <c r="F391" s="1080">
        <v>0</v>
      </c>
      <c r="G391" s="1080">
        <v>0</v>
      </c>
      <c r="H391" s="1080">
        <v>0</v>
      </c>
      <c r="I391" s="1080">
        <v>0</v>
      </c>
      <c r="J391" s="1146"/>
      <c r="K391" s="1146"/>
      <c r="L391" s="1213">
        <v>2021</v>
      </c>
    </row>
    <row r="392" spans="1:15" s="1078" customFormat="1" ht="55.5" customHeight="1">
      <c r="A392" s="1128"/>
      <c r="B392" s="1216" t="s">
        <v>462</v>
      </c>
      <c r="C392" s="1217" t="s">
        <v>540</v>
      </c>
      <c r="D392" s="1080">
        <v>0</v>
      </c>
      <c r="E392" s="1080">
        <v>12</v>
      </c>
      <c r="F392" s="1080">
        <v>0</v>
      </c>
      <c r="G392" s="1080">
        <v>0</v>
      </c>
      <c r="H392" s="1080">
        <v>0</v>
      </c>
      <c r="I392" s="1080">
        <v>0</v>
      </c>
      <c r="J392" s="1146"/>
      <c r="K392" s="1146"/>
      <c r="L392" s="1213">
        <v>2021</v>
      </c>
    </row>
    <row r="393" spans="1:15" s="1078" customFormat="1" ht="40.5" customHeight="1">
      <c r="A393" s="1128"/>
      <c r="B393" s="1216" t="s">
        <v>462</v>
      </c>
      <c r="C393" s="1217" t="s">
        <v>539</v>
      </c>
      <c r="D393" s="1080">
        <v>0</v>
      </c>
      <c r="E393" s="1080">
        <v>385</v>
      </c>
      <c r="F393" s="1080">
        <v>0</v>
      </c>
      <c r="G393" s="1080">
        <v>0</v>
      </c>
      <c r="H393" s="1080">
        <v>0</v>
      </c>
      <c r="I393" s="1080">
        <v>0</v>
      </c>
      <c r="J393" s="1146"/>
      <c r="K393" s="1146"/>
      <c r="L393" s="1213">
        <v>2021</v>
      </c>
    </row>
    <row r="394" spans="1:15" s="1078" customFormat="1" ht="40.5" customHeight="1">
      <c r="A394" s="1128"/>
      <c r="B394" s="1195" t="s">
        <v>459</v>
      </c>
      <c r="C394" s="1217" t="s">
        <v>538</v>
      </c>
      <c r="D394" s="1080">
        <v>0</v>
      </c>
      <c r="E394" s="1080">
        <v>30</v>
      </c>
      <c r="F394" s="1080">
        <v>0</v>
      </c>
      <c r="G394" s="1080">
        <v>30</v>
      </c>
      <c r="H394" s="1080">
        <v>30</v>
      </c>
      <c r="I394" s="1080">
        <v>30</v>
      </c>
      <c r="J394" s="1146"/>
      <c r="K394" s="1146"/>
      <c r="L394" s="1213">
        <v>2021</v>
      </c>
    </row>
    <row r="395" spans="1:15" s="1078" customFormat="1" ht="14.25" customHeight="1">
      <c r="A395" s="1128"/>
      <c r="B395" s="2131" t="s">
        <v>457</v>
      </c>
      <c r="C395" s="2132"/>
      <c r="D395" s="1082">
        <v>0</v>
      </c>
      <c r="E395" s="1082">
        <v>493680</v>
      </c>
      <c r="F395" s="1082">
        <f>I395*20%</f>
        <v>103326.55600000001</v>
      </c>
      <c r="G395" s="1082">
        <f>I395*45%</f>
        <v>232484.75100000002</v>
      </c>
      <c r="H395" s="1082">
        <f>I395*70%</f>
        <v>361642.946</v>
      </c>
      <c r="I395" s="1082">
        <v>516632.78</v>
      </c>
      <c r="J395" s="1146"/>
      <c r="K395" s="1146"/>
      <c r="L395" s="1146"/>
    </row>
    <row r="396" spans="1:15" s="995" customFormat="1" ht="28.5" customHeight="1">
      <c r="A396" s="1034"/>
      <c r="C396" s="1226"/>
      <c r="D396" s="1008"/>
      <c r="J396" s="1008"/>
      <c r="M396" s="1008"/>
      <c r="N396" s="1008"/>
      <c r="O396" s="1008"/>
    </row>
    <row r="397" spans="1:15" s="1102" customFormat="1" ht="14.25">
      <c r="A397" s="1104"/>
      <c r="B397" s="1224" t="s">
        <v>487</v>
      </c>
      <c r="C397" s="1225" t="s">
        <v>486</v>
      </c>
      <c r="D397" s="1107"/>
      <c r="E397" s="1107"/>
      <c r="F397" s="1104"/>
      <c r="G397" s="1104"/>
      <c r="H397" s="1104"/>
      <c r="I397" s="1104"/>
    </row>
    <row r="398" spans="1:15" s="1102" customFormat="1" ht="25.5">
      <c r="A398" s="1104"/>
      <c r="B398" s="1224" t="s">
        <v>485</v>
      </c>
      <c r="C398" s="1127">
        <v>104006</v>
      </c>
      <c r="D398" s="1104"/>
      <c r="E398" s="1104"/>
      <c r="F398" s="1104"/>
      <c r="G398" s="1104"/>
      <c r="H398" s="1104"/>
      <c r="I398" s="1104"/>
    </row>
    <row r="399" spans="1:15" s="1102" customFormat="1">
      <c r="A399" s="1104"/>
      <c r="B399" s="1224" t="s">
        <v>484</v>
      </c>
      <c r="C399" s="1105" t="s">
        <v>454</v>
      </c>
      <c r="D399" s="1104"/>
      <c r="E399" s="1104"/>
      <c r="F399" s="1104"/>
      <c r="G399" s="1104"/>
      <c r="H399" s="1104"/>
      <c r="I399" s="1104"/>
    </row>
    <row r="400" spans="1:15" s="1008" customFormat="1" ht="18" customHeight="1">
      <c r="A400" s="1107"/>
      <c r="B400" s="1222" t="s">
        <v>482</v>
      </c>
      <c r="C400" s="1140">
        <v>1155</v>
      </c>
      <c r="D400" s="2111" t="s">
        <v>481</v>
      </c>
      <c r="E400" s="2112"/>
      <c r="F400" s="2112"/>
      <c r="G400" s="2112"/>
      <c r="H400" s="2112"/>
      <c r="I400" s="2112"/>
      <c r="J400" s="2112"/>
      <c r="K400" s="2112"/>
      <c r="L400" s="2113"/>
    </row>
    <row r="401" spans="1:15" s="1008" customFormat="1" ht="21" customHeight="1">
      <c r="A401" s="1107"/>
      <c r="B401" s="1222" t="s">
        <v>480</v>
      </c>
      <c r="C401" s="1223">
        <v>32001</v>
      </c>
      <c r="D401" s="2117" t="s">
        <v>479</v>
      </c>
      <c r="E401" s="2117" t="s">
        <v>478</v>
      </c>
      <c r="F401" s="2117" t="s">
        <v>477</v>
      </c>
      <c r="G401" s="2117" t="s">
        <v>476</v>
      </c>
      <c r="H401" s="2117" t="s">
        <v>475</v>
      </c>
      <c r="I401" s="2117" t="s">
        <v>445</v>
      </c>
      <c r="J401" s="2123" t="s">
        <v>474</v>
      </c>
      <c r="K401" s="2123" t="s">
        <v>473</v>
      </c>
      <c r="L401" s="2120"/>
    </row>
    <row r="402" spans="1:15" s="1008" customFormat="1" ht="66" customHeight="1">
      <c r="A402" s="1107"/>
      <c r="B402" s="1222" t="s">
        <v>350</v>
      </c>
      <c r="C402" s="1139" t="s">
        <v>386</v>
      </c>
      <c r="D402" s="2118"/>
      <c r="E402" s="2118"/>
      <c r="F402" s="2118"/>
      <c r="G402" s="2118"/>
      <c r="H402" s="2118"/>
      <c r="I402" s="2118"/>
      <c r="J402" s="2123"/>
      <c r="K402" s="2123"/>
      <c r="L402" s="2120"/>
    </row>
    <row r="403" spans="1:15" s="1078" customFormat="1" ht="50.25" customHeight="1">
      <c r="A403" s="1128"/>
      <c r="B403" s="1212" t="s">
        <v>471</v>
      </c>
      <c r="C403" s="1139" t="s">
        <v>385</v>
      </c>
      <c r="D403" s="2118"/>
      <c r="E403" s="2118"/>
      <c r="F403" s="2118"/>
      <c r="G403" s="2118"/>
      <c r="H403" s="2118"/>
      <c r="I403" s="2118"/>
      <c r="J403" s="2123"/>
      <c r="K403" s="2123"/>
      <c r="L403" s="2120"/>
    </row>
    <row r="404" spans="1:15" s="1078" customFormat="1" ht="27.75" customHeight="1">
      <c r="A404" s="1128"/>
      <c r="B404" s="1221" t="s">
        <v>469</v>
      </c>
      <c r="C404" s="1124" t="s">
        <v>361</v>
      </c>
      <c r="D404" s="2118"/>
      <c r="E404" s="2118"/>
      <c r="F404" s="2118"/>
      <c r="G404" s="2118"/>
      <c r="H404" s="2118"/>
      <c r="I404" s="2118"/>
      <c r="J404" s="2123"/>
      <c r="K404" s="2123"/>
      <c r="L404" s="2120"/>
    </row>
    <row r="405" spans="1:15" s="1078" customFormat="1" ht="28.5" customHeight="1">
      <c r="A405" s="1128"/>
      <c r="B405" s="1124" t="s">
        <v>537</v>
      </c>
      <c r="C405" s="1124" t="s">
        <v>536</v>
      </c>
      <c r="D405" s="2118"/>
      <c r="E405" s="2118"/>
      <c r="F405" s="2118"/>
      <c r="G405" s="2118"/>
      <c r="H405" s="2118"/>
      <c r="I405" s="2118"/>
      <c r="J405" s="2123"/>
      <c r="K405" s="2123"/>
      <c r="L405" s="2120"/>
    </row>
    <row r="406" spans="1:15" s="1091" customFormat="1" ht="21" customHeight="1">
      <c r="A406" s="1094"/>
      <c r="B406" s="1090" t="s">
        <v>466</v>
      </c>
      <c r="C406" s="1090"/>
      <c r="D406" s="2119"/>
      <c r="E406" s="2119"/>
      <c r="F406" s="2119"/>
      <c r="G406" s="2119"/>
      <c r="H406" s="2119"/>
      <c r="I406" s="2119"/>
      <c r="J406" s="2123"/>
      <c r="K406" s="2123"/>
      <c r="L406" s="2120"/>
      <c r="M406" s="1078"/>
      <c r="N406" s="1078"/>
      <c r="O406" s="1078"/>
    </row>
    <row r="407" spans="1:15" s="1078" customFormat="1" ht="53.25" customHeight="1">
      <c r="A407" s="1128"/>
      <c r="B407" s="1216" t="s">
        <v>462</v>
      </c>
      <c r="C407" s="1217" t="s">
        <v>535</v>
      </c>
      <c r="D407" s="1080">
        <v>0</v>
      </c>
      <c r="E407" s="1214">
        <v>600</v>
      </c>
      <c r="F407" s="1214">
        <v>0</v>
      </c>
      <c r="G407" s="1214">
        <v>2000</v>
      </c>
      <c r="H407" s="1214">
        <v>2000</v>
      </c>
      <c r="I407" s="1214">
        <v>2000</v>
      </c>
      <c r="J407" s="1146"/>
      <c r="K407" s="1146"/>
      <c r="L407" s="1213">
        <v>2021</v>
      </c>
    </row>
    <row r="408" spans="1:15" s="1078" customFormat="1" ht="43.5" customHeight="1">
      <c r="A408" s="1128"/>
      <c r="B408" s="1216" t="s">
        <v>462</v>
      </c>
      <c r="C408" s="1217" t="s">
        <v>534</v>
      </c>
      <c r="D408" s="1080">
        <v>0</v>
      </c>
      <c r="E408" s="1214">
        <v>5</v>
      </c>
      <c r="F408" s="1214">
        <v>0</v>
      </c>
      <c r="G408" s="1214">
        <v>7</v>
      </c>
      <c r="H408" s="1214">
        <v>7</v>
      </c>
      <c r="I408" s="1214">
        <v>7</v>
      </c>
      <c r="J408" s="1146"/>
      <c r="K408" s="1146"/>
      <c r="L408" s="1213">
        <v>2021</v>
      </c>
    </row>
    <row r="409" spans="1:15" s="1078" customFormat="1" ht="58.5" customHeight="1">
      <c r="A409" s="1128"/>
      <c r="B409" s="1216" t="s">
        <v>462</v>
      </c>
      <c r="C409" s="1220" t="s">
        <v>533</v>
      </c>
      <c r="D409" s="1219">
        <v>0</v>
      </c>
      <c r="E409" s="1218">
        <v>3</v>
      </c>
      <c r="F409" s="1214">
        <v>0</v>
      </c>
      <c r="G409" s="1214">
        <v>5</v>
      </c>
      <c r="H409" s="1214">
        <v>5</v>
      </c>
      <c r="I409" s="1214">
        <v>5</v>
      </c>
      <c r="J409" s="1146"/>
      <c r="K409" s="1146"/>
      <c r="L409" s="1213">
        <v>2021</v>
      </c>
    </row>
    <row r="410" spans="1:15" s="1078" customFormat="1" ht="40.5" customHeight="1">
      <c r="A410" s="1128"/>
      <c r="B410" s="1216" t="s">
        <v>462</v>
      </c>
      <c r="C410" s="1217" t="s">
        <v>532</v>
      </c>
      <c r="D410" s="1080">
        <v>0</v>
      </c>
      <c r="E410" s="1214">
        <v>1</v>
      </c>
      <c r="F410" s="1214">
        <v>0</v>
      </c>
      <c r="G410" s="1214">
        <v>1</v>
      </c>
      <c r="H410" s="1214">
        <v>1</v>
      </c>
      <c r="I410" s="1214">
        <v>1</v>
      </c>
      <c r="J410" s="1146"/>
      <c r="K410" s="1146"/>
      <c r="L410" s="1213">
        <v>2021</v>
      </c>
    </row>
    <row r="411" spans="1:15" s="1078" customFormat="1" ht="37.5" customHeight="1">
      <c r="A411" s="1128"/>
      <c r="B411" s="1216" t="s">
        <v>462</v>
      </c>
      <c r="C411" s="1217" t="s">
        <v>531</v>
      </c>
      <c r="D411" s="1080">
        <v>0</v>
      </c>
      <c r="E411" s="1214">
        <v>1</v>
      </c>
      <c r="F411" s="1214">
        <v>0</v>
      </c>
      <c r="G411" s="1214">
        <v>1</v>
      </c>
      <c r="H411" s="1214">
        <v>1</v>
      </c>
      <c r="I411" s="1214">
        <v>1</v>
      </c>
      <c r="J411" s="1146"/>
      <c r="K411" s="1146"/>
      <c r="L411" s="1213">
        <v>2021</v>
      </c>
    </row>
    <row r="412" spans="1:15" s="1078" customFormat="1" ht="39" customHeight="1">
      <c r="A412" s="1128"/>
      <c r="B412" s="1216" t="s">
        <v>462</v>
      </c>
      <c r="C412" s="1217" t="s">
        <v>530</v>
      </c>
      <c r="D412" s="1080">
        <v>0</v>
      </c>
      <c r="E412" s="1214">
        <v>1</v>
      </c>
      <c r="F412" s="1214">
        <v>0</v>
      </c>
      <c r="G412" s="1214">
        <v>1</v>
      </c>
      <c r="H412" s="1214">
        <v>1</v>
      </c>
      <c r="I412" s="1214">
        <v>1</v>
      </c>
      <c r="J412" s="1146"/>
      <c r="K412" s="1146"/>
      <c r="L412" s="1213">
        <v>2021</v>
      </c>
    </row>
    <row r="413" spans="1:15" s="1078" customFormat="1" ht="19.5" customHeight="1">
      <c r="A413" s="1128"/>
      <c r="B413" s="1216" t="s">
        <v>459</v>
      </c>
      <c r="C413" s="1215" t="s">
        <v>529</v>
      </c>
      <c r="D413" s="1080">
        <v>0</v>
      </c>
      <c r="E413" s="1080">
        <v>75</v>
      </c>
      <c r="F413" s="1214">
        <v>0</v>
      </c>
      <c r="G413" s="1214">
        <v>75</v>
      </c>
      <c r="H413" s="1214">
        <v>75</v>
      </c>
      <c r="I413" s="1214">
        <v>75</v>
      </c>
      <c r="J413" s="1146"/>
      <c r="K413" s="1146"/>
      <c r="L413" s="1213">
        <v>2021</v>
      </c>
    </row>
    <row r="414" spans="1:15" s="1078" customFormat="1" ht="17.25" customHeight="1">
      <c r="A414" s="1128"/>
      <c r="B414" s="1212" t="s">
        <v>457</v>
      </c>
      <c r="C414" s="1212"/>
      <c r="D414" s="1082">
        <v>2994.53</v>
      </c>
      <c r="E414" s="1080">
        <v>669537.69999999995</v>
      </c>
      <c r="F414" s="1082">
        <f>I414*20%</f>
        <v>198957.22400000002</v>
      </c>
      <c r="G414" s="1082">
        <f>I414*45%</f>
        <v>447653.75400000002</v>
      </c>
      <c r="H414" s="1082">
        <f>I414*70%</f>
        <v>696350.28399999999</v>
      </c>
      <c r="I414" s="1211">
        <v>994786.12</v>
      </c>
      <c r="J414" s="1146"/>
      <c r="K414" s="1146"/>
      <c r="L414" s="1146"/>
    </row>
    <row r="415" spans="1:15" s="1078" customFormat="1" ht="80.25" customHeight="1">
      <c r="A415" s="1128"/>
      <c r="B415" s="1202"/>
      <c r="C415" s="1202"/>
      <c r="D415" s="1200"/>
      <c r="E415" s="1201"/>
      <c r="F415" s="1210"/>
      <c r="G415" s="1210"/>
      <c r="H415" s="1210"/>
      <c r="I415" s="1200"/>
    </row>
    <row r="416" spans="1:15">
      <c r="A416" s="1072"/>
      <c r="B416" s="1209" t="s">
        <v>494</v>
      </c>
      <c r="C416" s="1209" t="s">
        <v>493</v>
      </c>
      <c r="D416" s="1205"/>
      <c r="E416" s="1179"/>
      <c r="F416" s="1179"/>
      <c r="G416" s="1179"/>
      <c r="H416" s="1179"/>
      <c r="I416" s="1179"/>
    </row>
    <row r="417" spans="1:15">
      <c r="A417" s="1072"/>
      <c r="B417" s="1208">
        <v>1173</v>
      </c>
      <c r="C417" s="1171" t="s">
        <v>384</v>
      </c>
      <c r="D417" s="1207"/>
      <c r="E417" s="1179"/>
      <c r="F417" s="1179"/>
      <c r="G417" s="1179"/>
      <c r="H417" s="1179"/>
      <c r="I417" s="1179"/>
    </row>
    <row r="418" spans="1:15" ht="8.25" customHeight="1">
      <c r="A418" s="1072"/>
      <c r="B418" s="1206"/>
      <c r="C418" s="1070"/>
      <c r="D418" s="1205"/>
      <c r="E418" s="1179"/>
      <c r="F418" s="1179"/>
      <c r="G418" s="1179"/>
      <c r="H418" s="1179"/>
      <c r="I418" s="1179"/>
    </row>
    <row r="419" spans="1:15">
      <c r="A419" s="1072"/>
      <c r="B419" s="1071" t="s">
        <v>492</v>
      </c>
      <c r="C419" s="1070"/>
      <c r="D419" s="1205"/>
      <c r="E419" s="1179"/>
      <c r="F419" s="1179"/>
      <c r="G419" s="1179"/>
      <c r="H419" s="1179"/>
      <c r="I419" s="1179"/>
    </row>
    <row r="420" spans="1:15" s="1101" customFormat="1" ht="14.25">
      <c r="A420" s="1103"/>
      <c r="B420" s="1106" t="s">
        <v>487</v>
      </c>
      <c r="C420" s="1108" t="s">
        <v>486</v>
      </c>
      <c r="D420" s="1107"/>
      <c r="E420" s="1034"/>
      <c r="F420" s="1103"/>
      <c r="G420" s="1103"/>
      <c r="H420" s="1103"/>
      <c r="I420" s="1103"/>
      <c r="J420" s="1102"/>
      <c r="M420" s="1102"/>
      <c r="N420" s="1102"/>
      <c r="O420" s="1102"/>
    </row>
    <row r="421" spans="1:15" s="1101" customFormat="1" ht="25.5">
      <c r="A421" s="1103"/>
      <c r="B421" s="1106" t="s">
        <v>485</v>
      </c>
      <c r="C421" s="1127">
        <v>105050</v>
      </c>
      <c r="D421" s="1104"/>
      <c r="E421" s="1103"/>
      <c r="F421" s="1103"/>
      <c r="G421" s="1103"/>
      <c r="H421" s="1103"/>
      <c r="I421" s="1103"/>
      <c r="J421" s="1102"/>
      <c r="M421" s="1102"/>
      <c r="N421" s="1102"/>
      <c r="O421" s="1102"/>
    </row>
    <row r="422" spans="1:15" s="1101" customFormat="1">
      <c r="A422" s="1103"/>
      <c r="B422" s="1106" t="s">
        <v>484</v>
      </c>
      <c r="C422" s="1105" t="s">
        <v>506</v>
      </c>
      <c r="D422" s="1104"/>
      <c r="E422" s="1103"/>
      <c r="F422" s="1103"/>
      <c r="G422" s="1103"/>
      <c r="H422" s="1103"/>
      <c r="I422" s="1103"/>
      <c r="J422" s="1102"/>
      <c r="M422" s="1102"/>
      <c r="N422" s="1102"/>
      <c r="O422" s="1102"/>
    </row>
    <row r="423" spans="1:15" s="995" customFormat="1" ht="13.5" customHeight="1">
      <c r="A423" s="1034"/>
      <c r="B423" s="1098" t="s">
        <v>482</v>
      </c>
      <c r="C423" s="1100">
        <v>1173</v>
      </c>
      <c r="D423" s="2111" t="s">
        <v>481</v>
      </c>
      <c r="E423" s="2112"/>
      <c r="F423" s="2112"/>
      <c r="G423" s="2112"/>
      <c r="H423" s="2112"/>
      <c r="I423" s="2112"/>
      <c r="J423" s="2112"/>
      <c r="K423" s="2112"/>
      <c r="L423" s="2113"/>
      <c r="M423" s="1008"/>
      <c r="N423" s="1008"/>
      <c r="O423" s="1008"/>
    </row>
    <row r="424" spans="1:15" s="995" customFormat="1" ht="12" customHeight="1">
      <c r="A424" s="1034"/>
      <c r="B424" s="1098" t="s">
        <v>480</v>
      </c>
      <c r="C424" s="1125">
        <v>11001</v>
      </c>
      <c r="D424" s="2117" t="s">
        <v>479</v>
      </c>
      <c r="E424" s="2117" t="s">
        <v>478</v>
      </c>
      <c r="F424" s="2117" t="s">
        <v>477</v>
      </c>
      <c r="G424" s="2117" t="s">
        <v>476</v>
      </c>
      <c r="H424" s="2117" t="s">
        <v>475</v>
      </c>
      <c r="I424" s="2117" t="s">
        <v>445</v>
      </c>
      <c r="J424" s="2123" t="s">
        <v>474</v>
      </c>
      <c r="K424" s="2123" t="s">
        <v>473</v>
      </c>
      <c r="L424" s="2120" t="s">
        <v>472</v>
      </c>
      <c r="M424" s="1008"/>
      <c r="N424" s="1008"/>
      <c r="O424" s="1008"/>
    </row>
    <row r="425" spans="1:15" s="995" customFormat="1" ht="26.25" customHeight="1">
      <c r="A425" s="1034"/>
      <c r="B425" s="1098" t="s">
        <v>350</v>
      </c>
      <c r="C425" s="1204" t="s">
        <v>381</v>
      </c>
      <c r="D425" s="2118"/>
      <c r="E425" s="2118"/>
      <c r="F425" s="2118"/>
      <c r="G425" s="2118"/>
      <c r="H425" s="2118"/>
      <c r="I425" s="2118"/>
      <c r="J425" s="2123"/>
      <c r="K425" s="2123"/>
      <c r="L425" s="2120"/>
      <c r="M425" s="1008"/>
      <c r="N425" s="1008"/>
      <c r="O425" s="1008"/>
    </row>
    <row r="426" spans="1:15" s="1091" customFormat="1" ht="26.25" customHeight="1">
      <c r="A426" s="1094"/>
      <c r="B426" s="1090" t="s">
        <v>471</v>
      </c>
      <c r="C426" s="1203" t="s">
        <v>380</v>
      </c>
      <c r="D426" s="2118"/>
      <c r="E426" s="2118"/>
      <c r="F426" s="2118"/>
      <c r="G426" s="2118"/>
      <c r="H426" s="2118"/>
      <c r="I426" s="2118"/>
      <c r="J426" s="2123"/>
      <c r="K426" s="2123"/>
      <c r="L426" s="2120"/>
      <c r="M426" s="1078"/>
      <c r="N426" s="1078"/>
      <c r="O426" s="1078"/>
    </row>
    <row r="427" spans="1:15" s="1091" customFormat="1" ht="14.25" customHeight="1">
      <c r="A427" s="1094"/>
      <c r="B427" s="1096" t="s">
        <v>469</v>
      </c>
      <c r="C427" s="1095" t="s">
        <v>345</v>
      </c>
      <c r="D427" s="2118"/>
      <c r="E427" s="2118"/>
      <c r="F427" s="2118"/>
      <c r="G427" s="2118"/>
      <c r="H427" s="2118"/>
      <c r="I427" s="2118"/>
      <c r="J427" s="2123"/>
      <c r="K427" s="2123"/>
      <c r="L427" s="2120"/>
      <c r="M427" s="1078"/>
      <c r="N427" s="1078"/>
      <c r="O427" s="1078"/>
    </row>
    <row r="428" spans="1:15" s="1091" customFormat="1" ht="14.25" customHeight="1">
      <c r="A428" s="1094"/>
      <c r="B428" s="1093" t="s">
        <v>468</v>
      </c>
      <c r="C428" s="1124" t="s">
        <v>528</v>
      </c>
      <c r="D428" s="2118"/>
      <c r="E428" s="2118"/>
      <c r="F428" s="2118"/>
      <c r="G428" s="2118"/>
      <c r="H428" s="2118"/>
      <c r="I428" s="2118"/>
      <c r="J428" s="2123"/>
      <c r="K428" s="2123"/>
      <c r="L428" s="2120"/>
      <c r="M428" s="1078"/>
      <c r="N428" s="1078"/>
      <c r="O428" s="1078"/>
    </row>
    <row r="429" spans="1:15" s="1091" customFormat="1" ht="12.75" customHeight="1">
      <c r="A429" s="1094"/>
      <c r="B429" s="1090" t="s">
        <v>466</v>
      </c>
      <c r="C429" s="1090"/>
      <c r="D429" s="2119"/>
      <c r="E429" s="2119"/>
      <c r="F429" s="2119"/>
      <c r="G429" s="2119"/>
      <c r="H429" s="2119"/>
      <c r="I429" s="2119"/>
      <c r="J429" s="2123"/>
      <c r="K429" s="2123"/>
      <c r="L429" s="2120"/>
      <c r="M429" s="1078"/>
      <c r="N429" s="1078"/>
      <c r="O429" s="1078"/>
    </row>
    <row r="430" spans="1:15" s="1091" customFormat="1" ht="25.5" customHeight="1">
      <c r="A430" s="1094"/>
      <c r="B430" s="1086" t="s">
        <v>462</v>
      </c>
      <c r="C430" s="1148" t="s">
        <v>527</v>
      </c>
      <c r="D430" s="1080">
        <v>1</v>
      </c>
      <c r="E430" s="1121">
        <v>1</v>
      </c>
      <c r="F430" s="1121">
        <v>0</v>
      </c>
      <c r="G430" s="1121">
        <v>0</v>
      </c>
      <c r="H430" s="1121">
        <v>0</v>
      </c>
      <c r="I430" s="1121">
        <v>1</v>
      </c>
      <c r="J430" s="1115">
        <v>1</v>
      </c>
      <c r="K430" s="1114">
        <v>1</v>
      </c>
      <c r="L430" s="1110"/>
      <c r="M430" s="1078"/>
      <c r="N430" s="1078"/>
      <c r="O430" s="1078"/>
    </row>
    <row r="431" spans="1:15" s="1091" customFormat="1" ht="26.25" customHeight="1">
      <c r="A431" s="1094"/>
      <c r="B431" s="1086" t="s">
        <v>462</v>
      </c>
      <c r="C431" s="1148" t="s">
        <v>526</v>
      </c>
      <c r="D431" s="1080">
        <v>5</v>
      </c>
      <c r="E431" s="1121">
        <v>8</v>
      </c>
      <c r="F431" s="1121">
        <v>0</v>
      </c>
      <c r="G431" s="1121">
        <v>0</v>
      </c>
      <c r="H431" s="1121">
        <v>0</v>
      </c>
      <c r="I431" s="1121">
        <v>12</v>
      </c>
      <c r="J431" s="1115">
        <v>7</v>
      </c>
      <c r="K431" s="1114">
        <v>7</v>
      </c>
      <c r="L431" s="1110"/>
      <c r="M431" s="1078"/>
      <c r="N431" s="1078"/>
      <c r="O431" s="1078"/>
    </row>
    <row r="432" spans="1:15" s="1091" customFormat="1" ht="17.25" customHeight="1">
      <c r="A432" s="1094"/>
      <c r="B432" s="2121" t="s">
        <v>457</v>
      </c>
      <c r="C432" s="2122"/>
      <c r="D432" s="1141">
        <v>170293.17</v>
      </c>
      <c r="E432" s="1135">
        <v>251232.2</v>
      </c>
      <c r="F432" s="1082">
        <f>I432*20%</f>
        <v>51038.200000000004</v>
      </c>
      <c r="G432" s="1082">
        <f>I432*45%</f>
        <v>114835.95</v>
      </c>
      <c r="H432" s="1082">
        <f>I432*70%</f>
        <v>178633.69999999998</v>
      </c>
      <c r="I432" s="1135">
        <v>255191</v>
      </c>
      <c r="J432" s="1135">
        <v>256800.8</v>
      </c>
      <c r="K432" s="1135">
        <v>258580.5</v>
      </c>
      <c r="L432" s="1080"/>
      <c r="M432" s="1078"/>
      <c r="N432" s="1078"/>
      <c r="O432" s="1078"/>
    </row>
    <row r="433" spans="1:12" s="1078" customFormat="1" ht="11.25" customHeight="1">
      <c r="A433" s="1128"/>
      <c r="B433" s="1202"/>
      <c r="C433" s="1202"/>
      <c r="D433" s="1201"/>
      <c r="E433" s="1201"/>
      <c r="F433" s="1201"/>
      <c r="G433" s="1201"/>
      <c r="H433" s="1201"/>
      <c r="I433" s="1200"/>
    </row>
    <row r="434" spans="1:12">
      <c r="B434" s="1199" t="s">
        <v>487</v>
      </c>
      <c r="C434" s="1198" t="s">
        <v>486</v>
      </c>
      <c r="D434" s="1179"/>
      <c r="E434" s="1179"/>
      <c r="F434" s="1179"/>
      <c r="G434" s="1179"/>
      <c r="H434" s="1179"/>
      <c r="I434" s="1179"/>
      <c r="J434" s="1062"/>
      <c r="K434" s="1061"/>
      <c r="L434" s="1061"/>
    </row>
    <row r="435" spans="1:12" ht="14.25" customHeight="1">
      <c r="B435" s="1176" t="s">
        <v>485</v>
      </c>
      <c r="C435" s="1180">
        <v>105050</v>
      </c>
      <c r="D435" s="1179"/>
      <c r="E435" s="1179"/>
      <c r="F435" s="1179"/>
      <c r="G435" s="1179"/>
      <c r="H435" s="1179"/>
      <c r="I435" s="1179"/>
      <c r="J435" s="1062"/>
      <c r="K435" s="1061"/>
      <c r="L435" s="1061"/>
    </row>
    <row r="436" spans="1:12">
      <c r="B436" s="1176" t="s">
        <v>484</v>
      </c>
      <c r="C436" s="1105" t="s">
        <v>506</v>
      </c>
      <c r="D436" s="1179"/>
      <c r="E436" s="1179"/>
      <c r="F436" s="1179"/>
      <c r="G436" s="1179"/>
      <c r="H436" s="1179"/>
      <c r="I436" s="1179"/>
      <c r="J436" s="1062"/>
      <c r="K436" s="1061"/>
      <c r="L436" s="1061"/>
    </row>
    <row r="437" spans="1:12">
      <c r="B437" s="1176" t="s">
        <v>482</v>
      </c>
      <c r="C437" s="1178">
        <v>1173</v>
      </c>
      <c r="D437" s="2111" t="s">
        <v>481</v>
      </c>
      <c r="E437" s="2112"/>
      <c r="F437" s="2112"/>
      <c r="G437" s="2112"/>
      <c r="H437" s="2112"/>
      <c r="I437" s="2112"/>
      <c r="J437" s="2112"/>
      <c r="K437" s="2112"/>
      <c r="L437" s="2113"/>
    </row>
    <row r="438" spans="1:12" ht="12.75" customHeight="1">
      <c r="B438" s="1176" t="s">
        <v>480</v>
      </c>
      <c r="C438" s="1177">
        <v>11002</v>
      </c>
      <c r="D438" s="2117" t="s">
        <v>479</v>
      </c>
      <c r="E438" s="2117" t="s">
        <v>478</v>
      </c>
      <c r="F438" s="2117" t="s">
        <v>477</v>
      </c>
      <c r="G438" s="2117" t="s">
        <v>476</v>
      </c>
      <c r="H438" s="2117" t="s">
        <v>475</v>
      </c>
      <c r="I438" s="2117" t="s">
        <v>445</v>
      </c>
      <c r="J438" s="2123" t="s">
        <v>474</v>
      </c>
      <c r="K438" s="2123" t="s">
        <v>473</v>
      </c>
      <c r="L438" s="2120" t="s">
        <v>472</v>
      </c>
    </row>
    <row r="439" spans="1:12" ht="15.75" customHeight="1">
      <c r="B439" s="1176" t="s">
        <v>350</v>
      </c>
      <c r="C439" s="1175" t="s">
        <v>379</v>
      </c>
      <c r="D439" s="2118"/>
      <c r="E439" s="2118"/>
      <c r="F439" s="2118"/>
      <c r="G439" s="2118"/>
      <c r="H439" s="2118"/>
      <c r="I439" s="2118"/>
      <c r="J439" s="2123"/>
      <c r="K439" s="2123"/>
      <c r="L439" s="2120"/>
    </row>
    <row r="440" spans="1:12" ht="17.25" customHeight="1">
      <c r="B440" s="1174" t="s">
        <v>471</v>
      </c>
      <c r="C440" s="1197" t="s">
        <v>525</v>
      </c>
      <c r="D440" s="2118"/>
      <c r="E440" s="2118"/>
      <c r="F440" s="2118"/>
      <c r="G440" s="2118"/>
      <c r="H440" s="2118"/>
      <c r="I440" s="2118"/>
      <c r="J440" s="2123"/>
      <c r="K440" s="2123"/>
      <c r="L440" s="2120"/>
    </row>
    <row r="441" spans="1:12">
      <c r="B441" s="1172" t="s">
        <v>346</v>
      </c>
      <c r="C441" s="1016" t="s">
        <v>345</v>
      </c>
      <c r="D441" s="2118"/>
      <c r="E441" s="2118"/>
      <c r="F441" s="2118"/>
      <c r="G441" s="2118"/>
      <c r="H441" s="2118"/>
      <c r="I441" s="2118"/>
      <c r="J441" s="2123"/>
      <c r="K441" s="2123"/>
      <c r="L441" s="2120"/>
    </row>
    <row r="442" spans="1:12" ht="15.75" customHeight="1">
      <c r="B442" s="1171" t="s">
        <v>512</v>
      </c>
      <c r="C442" s="1186" t="s">
        <v>467</v>
      </c>
      <c r="D442" s="2118"/>
      <c r="E442" s="2118"/>
      <c r="F442" s="2118"/>
      <c r="G442" s="2118"/>
      <c r="H442" s="2118"/>
      <c r="I442" s="2118"/>
      <c r="J442" s="2123"/>
      <c r="K442" s="2123"/>
      <c r="L442" s="2120"/>
    </row>
    <row r="443" spans="1:12">
      <c r="B443" s="2124" t="s">
        <v>466</v>
      </c>
      <c r="C443" s="2125"/>
      <c r="D443" s="2119"/>
      <c r="E443" s="2119"/>
      <c r="F443" s="2119"/>
      <c r="G443" s="2119"/>
      <c r="H443" s="2119"/>
      <c r="I443" s="2119"/>
      <c r="J443" s="2123"/>
      <c r="K443" s="2123"/>
      <c r="L443" s="2120"/>
    </row>
    <row r="444" spans="1:12" ht="15" customHeight="1">
      <c r="B444" s="1169" t="s">
        <v>462</v>
      </c>
      <c r="C444" s="1084" t="s">
        <v>524</v>
      </c>
      <c r="D444" s="1185">
        <v>342.4</v>
      </c>
      <c r="E444" s="1191">
        <v>342.4</v>
      </c>
      <c r="F444" s="1191">
        <v>342.4</v>
      </c>
      <c r="G444" s="1191">
        <v>342.4</v>
      </c>
      <c r="H444" s="1191">
        <v>342.4</v>
      </c>
      <c r="I444" s="1191">
        <v>342.4</v>
      </c>
      <c r="J444" s="1191">
        <v>342.4</v>
      </c>
      <c r="K444" s="1191">
        <v>342.4</v>
      </c>
      <c r="L444" s="1159"/>
    </row>
    <row r="445" spans="1:12" ht="15.75" customHeight="1">
      <c r="B445" s="1169" t="s">
        <v>462</v>
      </c>
      <c r="C445" s="1084" t="s">
        <v>523</v>
      </c>
      <c r="D445" s="1185">
        <v>15198</v>
      </c>
      <c r="E445" s="1182">
        <v>2000</v>
      </c>
      <c r="F445" s="1196">
        <v>500</v>
      </c>
      <c r="G445" s="1196">
        <v>1000</v>
      </c>
      <c r="H445" s="1196">
        <v>1500</v>
      </c>
      <c r="I445" s="1182">
        <v>2000</v>
      </c>
      <c r="J445" s="1190">
        <v>2000</v>
      </c>
      <c r="K445" s="1160">
        <v>2000</v>
      </c>
      <c r="L445" s="1159"/>
    </row>
    <row r="446" spans="1:12" s="1060" customFormat="1" ht="27" customHeight="1">
      <c r="B446" s="1195" t="s">
        <v>459</v>
      </c>
      <c r="C446" s="1194" t="s">
        <v>522</v>
      </c>
      <c r="D446" s="1185"/>
      <c r="E446" s="1182">
        <v>100</v>
      </c>
      <c r="F446" s="1193"/>
      <c r="G446" s="1193"/>
      <c r="H446" s="1193"/>
      <c r="I446" s="1182">
        <v>100</v>
      </c>
      <c r="J446" s="1190">
        <v>100</v>
      </c>
      <c r="K446" s="1190">
        <v>100</v>
      </c>
      <c r="L446" s="1189"/>
    </row>
    <row r="447" spans="1:12" ht="13.5" customHeight="1">
      <c r="B447" s="1165" t="s">
        <v>457</v>
      </c>
      <c r="C447" s="1164"/>
      <c r="D447" s="1135">
        <v>1170656.3</v>
      </c>
      <c r="E447" s="1135">
        <v>1335485.8999999999</v>
      </c>
      <c r="F447" s="1082">
        <f>I447*20%</f>
        <v>370070.04000000004</v>
      </c>
      <c r="G447" s="1082">
        <f>I447*45%</f>
        <v>832657.59</v>
      </c>
      <c r="H447" s="1082">
        <f>I447*70%</f>
        <v>1295245.1399999999</v>
      </c>
      <c r="I447" s="1135">
        <v>1850350.2</v>
      </c>
      <c r="J447" s="1135">
        <v>1850350.2</v>
      </c>
      <c r="K447" s="1135">
        <v>1850350.2</v>
      </c>
      <c r="L447" s="1159"/>
    </row>
    <row r="448" spans="1:12" s="1060" customFormat="1" ht="7.5" customHeight="1">
      <c r="B448" s="2128"/>
      <c r="C448" s="2129"/>
      <c r="D448" s="2129"/>
      <c r="E448" s="2129"/>
      <c r="F448" s="2129"/>
      <c r="G448" s="2129"/>
      <c r="H448" s="2129"/>
      <c r="I448" s="2129"/>
      <c r="J448" s="1062"/>
      <c r="K448" s="1062"/>
      <c r="L448" s="1062"/>
    </row>
    <row r="449" spans="2:12">
      <c r="B449" s="1176" t="s">
        <v>487</v>
      </c>
      <c r="C449" s="1126" t="s">
        <v>486</v>
      </c>
      <c r="D449" s="1179"/>
      <c r="E449" s="1179"/>
      <c r="F449" s="1179"/>
      <c r="G449" s="1179"/>
      <c r="H449" s="1179"/>
      <c r="I449" s="1179"/>
      <c r="J449" s="1062"/>
      <c r="K449" s="1061"/>
      <c r="L449" s="1061"/>
    </row>
    <row r="450" spans="2:12" ht="15.75" customHeight="1">
      <c r="B450" s="1176" t="s">
        <v>485</v>
      </c>
      <c r="C450" s="1180">
        <v>105050</v>
      </c>
      <c r="D450" s="1179"/>
      <c r="E450" s="1179"/>
      <c r="F450" s="1179"/>
      <c r="G450" s="1179"/>
      <c r="H450" s="1179"/>
      <c r="I450" s="1179"/>
      <c r="J450" s="1062"/>
      <c r="K450" s="1061"/>
      <c r="L450" s="1061"/>
    </row>
    <row r="451" spans="2:12">
      <c r="B451" s="1176" t="s">
        <v>484</v>
      </c>
      <c r="C451" s="1105" t="s">
        <v>506</v>
      </c>
      <c r="D451" s="1179"/>
      <c r="E451" s="1179"/>
      <c r="F451" s="1179"/>
      <c r="G451" s="1179"/>
      <c r="H451" s="1179"/>
      <c r="I451" s="1179"/>
      <c r="J451" s="1062"/>
      <c r="K451" s="1061"/>
      <c r="L451" s="1061"/>
    </row>
    <row r="452" spans="2:12">
      <c r="B452" s="1176" t="s">
        <v>482</v>
      </c>
      <c r="C452" s="1178">
        <v>1173</v>
      </c>
      <c r="D452" s="2111" t="s">
        <v>481</v>
      </c>
      <c r="E452" s="2112"/>
      <c r="F452" s="2112"/>
      <c r="G452" s="2112"/>
      <c r="H452" s="2112"/>
      <c r="I452" s="2112"/>
      <c r="J452" s="2112"/>
      <c r="K452" s="2112"/>
      <c r="L452" s="2113"/>
    </row>
    <row r="453" spans="2:12" ht="12.75" customHeight="1">
      <c r="B453" s="1176" t="s">
        <v>480</v>
      </c>
      <c r="C453" s="1177">
        <v>11003</v>
      </c>
      <c r="D453" s="2117" t="s">
        <v>479</v>
      </c>
      <c r="E453" s="2117" t="s">
        <v>478</v>
      </c>
      <c r="F453" s="2117" t="s">
        <v>477</v>
      </c>
      <c r="G453" s="2117" t="s">
        <v>476</v>
      </c>
      <c r="H453" s="2117" t="s">
        <v>475</v>
      </c>
      <c r="I453" s="2117" t="s">
        <v>445</v>
      </c>
      <c r="J453" s="2123" t="s">
        <v>474</v>
      </c>
      <c r="K453" s="2123" t="s">
        <v>473</v>
      </c>
      <c r="L453" s="2120" t="s">
        <v>472</v>
      </c>
    </row>
    <row r="454" spans="2:12" ht="16.5" customHeight="1">
      <c r="B454" s="1176" t="s">
        <v>350</v>
      </c>
      <c r="C454" s="1186" t="s">
        <v>377</v>
      </c>
      <c r="D454" s="2118"/>
      <c r="E454" s="2118"/>
      <c r="F454" s="2118"/>
      <c r="G454" s="2118"/>
      <c r="H454" s="2118"/>
      <c r="I454" s="2118"/>
      <c r="J454" s="2123"/>
      <c r="K454" s="2123"/>
      <c r="L454" s="2120"/>
    </row>
    <row r="455" spans="2:12" ht="13.5" customHeight="1">
      <c r="B455" s="1174" t="s">
        <v>471</v>
      </c>
      <c r="C455" s="1192" t="s">
        <v>376</v>
      </c>
      <c r="D455" s="2118"/>
      <c r="E455" s="2118"/>
      <c r="F455" s="2118"/>
      <c r="G455" s="2118"/>
      <c r="H455" s="2118"/>
      <c r="I455" s="2118"/>
      <c r="J455" s="2123"/>
      <c r="K455" s="2123"/>
      <c r="L455" s="2120"/>
    </row>
    <row r="456" spans="2:12">
      <c r="B456" s="1172" t="s">
        <v>346</v>
      </c>
      <c r="C456" s="1016" t="s">
        <v>345</v>
      </c>
      <c r="D456" s="2118"/>
      <c r="E456" s="2118"/>
      <c r="F456" s="2118"/>
      <c r="G456" s="2118"/>
      <c r="H456" s="2118"/>
      <c r="I456" s="2118"/>
      <c r="J456" s="2123"/>
      <c r="K456" s="2123"/>
      <c r="L456" s="2120"/>
    </row>
    <row r="457" spans="2:12" ht="14.25" customHeight="1">
      <c r="B457" s="1171" t="s">
        <v>521</v>
      </c>
      <c r="C457" s="1170" t="s">
        <v>467</v>
      </c>
      <c r="D457" s="2118"/>
      <c r="E457" s="2118"/>
      <c r="F457" s="2118"/>
      <c r="G457" s="2118"/>
      <c r="H457" s="2118"/>
      <c r="I457" s="2118"/>
      <c r="J457" s="2123"/>
      <c r="K457" s="2123"/>
      <c r="L457" s="2120"/>
    </row>
    <row r="458" spans="2:12">
      <c r="B458" s="2130" t="s">
        <v>466</v>
      </c>
      <c r="C458" s="2130"/>
      <c r="D458" s="2119"/>
      <c r="E458" s="2119"/>
      <c r="F458" s="2119"/>
      <c r="G458" s="2119"/>
      <c r="H458" s="2119"/>
      <c r="I458" s="2119"/>
      <c r="J458" s="2123"/>
      <c r="K458" s="2123"/>
      <c r="L458" s="2120"/>
    </row>
    <row r="459" spans="2:12" ht="15" customHeight="1">
      <c r="B459" s="1169" t="s">
        <v>462</v>
      </c>
      <c r="C459" s="1084" t="s">
        <v>520</v>
      </c>
      <c r="D459" s="1191">
        <v>342.4</v>
      </c>
      <c r="E459" s="1191">
        <v>342.4</v>
      </c>
      <c r="F459" s="1191"/>
      <c r="G459" s="1191"/>
      <c r="H459" s="1191"/>
      <c r="I459" s="1191">
        <v>342.4</v>
      </c>
      <c r="J459" s="1190">
        <v>342.4</v>
      </c>
      <c r="K459" s="1160">
        <v>342.4</v>
      </c>
      <c r="L459" s="1159"/>
    </row>
    <row r="460" spans="2:12" s="1060" customFormat="1" ht="12" customHeight="1">
      <c r="B460" s="1086" t="s">
        <v>459</v>
      </c>
      <c r="C460" s="1084" t="s">
        <v>519</v>
      </c>
      <c r="D460" s="1080"/>
      <c r="E460" s="1080">
        <v>100</v>
      </c>
      <c r="F460" s="1080"/>
      <c r="G460" s="1080"/>
      <c r="H460" s="1080"/>
      <c r="I460" s="1080">
        <v>100</v>
      </c>
      <c r="J460" s="1190">
        <v>100</v>
      </c>
      <c r="K460" s="1190">
        <v>100</v>
      </c>
      <c r="L460" s="1189"/>
    </row>
    <row r="461" spans="2:12" ht="14.25" customHeight="1">
      <c r="B461" s="1165" t="s">
        <v>457</v>
      </c>
      <c r="C461" s="1164"/>
      <c r="D461" s="1141">
        <v>11975.67</v>
      </c>
      <c r="E461" s="1141">
        <v>15000</v>
      </c>
      <c r="F461" s="1188">
        <f>I461*20%</f>
        <v>3000</v>
      </c>
      <c r="G461" s="1188">
        <f>I461*45%</f>
        <v>6750</v>
      </c>
      <c r="H461" s="1188">
        <f>I461*70%</f>
        <v>10500</v>
      </c>
      <c r="I461" s="1141">
        <v>15000</v>
      </c>
      <c r="J461" s="1141">
        <v>15000</v>
      </c>
      <c r="K461" s="1141">
        <v>15000</v>
      </c>
      <c r="L461" s="1159"/>
    </row>
    <row r="462" spans="2:12" s="1062" customFormat="1" ht="13.5" customHeight="1">
      <c r="B462" s="2126"/>
      <c r="C462" s="2127"/>
      <c r="D462" s="2127"/>
      <c r="E462" s="2127"/>
      <c r="F462" s="2127"/>
      <c r="G462" s="2127"/>
      <c r="H462" s="2127"/>
      <c r="I462" s="2127"/>
    </row>
    <row r="463" spans="2:12">
      <c r="B463" s="1176" t="s">
        <v>487</v>
      </c>
      <c r="C463" s="1105" t="s">
        <v>486</v>
      </c>
      <c r="D463" s="1179"/>
      <c r="E463" s="1179"/>
      <c r="F463" s="1179"/>
      <c r="G463" s="1179"/>
      <c r="H463" s="1179"/>
      <c r="I463" s="1179"/>
      <c r="J463" s="1062"/>
      <c r="K463" s="1061"/>
      <c r="L463" s="1061"/>
    </row>
    <row r="464" spans="2:12" ht="14.25" customHeight="1">
      <c r="B464" s="1176" t="s">
        <v>485</v>
      </c>
      <c r="C464" s="1180">
        <v>105050</v>
      </c>
      <c r="D464" s="1179"/>
      <c r="E464" s="1179"/>
      <c r="F464" s="1179"/>
      <c r="G464" s="1179"/>
      <c r="H464" s="1179"/>
      <c r="I464" s="1179"/>
      <c r="J464" s="1062"/>
      <c r="K464" s="1061"/>
      <c r="L464" s="1061"/>
    </row>
    <row r="465" spans="2:12">
      <c r="B465" s="1176" t="s">
        <v>484</v>
      </c>
      <c r="C465" s="1105" t="s">
        <v>506</v>
      </c>
      <c r="D465" s="1179"/>
      <c r="E465" s="1179"/>
      <c r="F465" s="1179"/>
      <c r="G465" s="1179"/>
      <c r="H465" s="1179"/>
      <c r="I465" s="1179"/>
      <c r="J465" s="1062"/>
      <c r="K465" s="1061"/>
      <c r="L465" s="1061"/>
    </row>
    <row r="466" spans="2:12">
      <c r="B466" s="1176" t="s">
        <v>482</v>
      </c>
      <c r="C466" s="1178">
        <v>1173</v>
      </c>
      <c r="D466" s="2111" t="s">
        <v>481</v>
      </c>
      <c r="E466" s="2112"/>
      <c r="F466" s="2112"/>
      <c r="G466" s="2112"/>
      <c r="H466" s="2112"/>
      <c r="I466" s="2112"/>
      <c r="J466" s="2112"/>
      <c r="K466" s="2112"/>
      <c r="L466" s="2113"/>
    </row>
    <row r="467" spans="2:12" ht="12.75" customHeight="1">
      <c r="B467" s="1176" t="s">
        <v>480</v>
      </c>
      <c r="C467" s="1177">
        <v>11004</v>
      </c>
      <c r="D467" s="2117" t="s">
        <v>479</v>
      </c>
      <c r="E467" s="2117" t="s">
        <v>478</v>
      </c>
      <c r="F467" s="2117" t="s">
        <v>477</v>
      </c>
      <c r="G467" s="2117" t="s">
        <v>476</v>
      </c>
      <c r="H467" s="2117" t="s">
        <v>475</v>
      </c>
      <c r="I467" s="2117" t="s">
        <v>445</v>
      </c>
      <c r="J467" s="2123" t="s">
        <v>474</v>
      </c>
      <c r="K467" s="2123" t="s">
        <v>473</v>
      </c>
      <c r="L467" s="2120" t="s">
        <v>472</v>
      </c>
    </row>
    <row r="468" spans="2:12" ht="15.75" customHeight="1">
      <c r="B468" s="1176" t="s">
        <v>350</v>
      </c>
      <c r="C468" s="1175" t="s">
        <v>375</v>
      </c>
      <c r="D468" s="2118"/>
      <c r="E468" s="2118"/>
      <c r="F468" s="2118"/>
      <c r="G468" s="2118"/>
      <c r="H468" s="2118"/>
      <c r="I468" s="2118"/>
      <c r="J468" s="2123"/>
      <c r="K468" s="2123"/>
      <c r="L468" s="2120"/>
    </row>
    <row r="469" spans="2:12" ht="29.25" customHeight="1">
      <c r="B469" s="1174" t="s">
        <v>471</v>
      </c>
      <c r="C469" s="1187" t="s">
        <v>518</v>
      </c>
      <c r="D469" s="2118"/>
      <c r="E469" s="2118"/>
      <c r="F469" s="2118"/>
      <c r="G469" s="2118"/>
      <c r="H469" s="2118"/>
      <c r="I469" s="2118"/>
      <c r="J469" s="2123"/>
      <c r="K469" s="2123"/>
      <c r="L469" s="2120"/>
    </row>
    <row r="470" spans="2:12">
      <c r="B470" s="1172" t="s">
        <v>346</v>
      </c>
      <c r="C470" s="1016" t="s">
        <v>345</v>
      </c>
      <c r="D470" s="2118"/>
      <c r="E470" s="2118"/>
      <c r="F470" s="2118"/>
      <c r="G470" s="2118"/>
      <c r="H470" s="2118"/>
      <c r="I470" s="2118"/>
      <c r="J470" s="2123"/>
      <c r="K470" s="2123"/>
      <c r="L470" s="2120"/>
    </row>
    <row r="471" spans="2:12" ht="31.5" customHeight="1">
      <c r="B471" s="1171" t="s">
        <v>512</v>
      </c>
      <c r="C471" s="1186" t="s">
        <v>517</v>
      </c>
      <c r="D471" s="2118"/>
      <c r="E471" s="2118"/>
      <c r="F471" s="2118"/>
      <c r="G471" s="2118"/>
      <c r="H471" s="2118"/>
      <c r="I471" s="2118"/>
      <c r="J471" s="2123"/>
      <c r="K471" s="2123"/>
      <c r="L471" s="2120"/>
    </row>
    <row r="472" spans="2:12" ht="21" customHeight="1">
      <c r="B472" s="2124" t="s">
        <v>466</v>
      </c>
      <c r="C472" s="2125"/>
      <c r="D472" s="2119"/>
      <c r="E472" s="2119"/>
      <c r="F472" s="2119"/>
      <c r="G472" s="2119"/>
      <c r="H472" s="2119"/>
      <c r="I472" s="2119"/>
      <c r="J472" s="2123"/>
      <c r="K472" s="2123"/>
      <c r="L472" s="2120"/>
    </row>
    <row r="473" spans="2:12" ht="14.25" customHeight="1">
      <c r="B473" s="1169" t="s">
        <v>462</v>
      </c>
      <c r="C473" s="1084" t="s">
        <v>516</v>
      </c>
      <c r="D473" s="1167">
        <v>0</v>
      </c>
      <c r="E473" s="1182">
        <v>5400</v>
      </c>
      <c r="F473" s="1185"/>
      <c r="G473" s="1182">
        <v>8000</v>
      </c>
      <c r="H473" s="1182">
        <v>8000</v>
      </c>
      <c r="I473" s="1182">
        <v>8000</v>
      </c>
      <c r="J473" s="1182">
        <v>8000</v>
      </c>
      <c r="K473" s="1182">
        <v>8000</v>
      </c>
      <c r="L473" s="1159"/>
    </row>
    <row r="474" spans="2:12" ht="15" customHeight="1">
      <c r="B474" s="1169" t="s">
        <v>462</v>
      </c>
      <c r="C474" s="1088" t="s">
        <v>515</v>
      </c>
      <c r="D474" s="1167">
        <v>0</v>
      </c>
      <c r="E474" s="1182">
        <v>2700</v>
      </c>
      <c r="F474" s="1185"/>
      <c r="G474" s="1182">
        <v>6000</v>
      </c>
      <c r="H474" s="1182">
        <v>6000</v>
      </c>
      <c r="I474" s="1182">
        <v>6000</v>
      </c>
      <c r="J474" s="1182">
        <v>6000</v>
      </c>
      <c r="K474" s="1182">
        <v>6000</v>
      </c>
      <c r="L474" s="1159"/>
    </row>
    <row r="475" spans="2:12" ht="25.5">
      <c r="B475" s="1169" t="s">
        <v>459</v>
      </c>
      <c r="C475" s="1084" t="s">
        <v>514</v>
      </c>
      <c r="D475" s="1184">
        <v>0</v>
      </c>
      <c r="E475" s="1182">
        <v>60</v>
      </c>
      <c r="F475" s="1183"/>
      <c r="G475" s="1182"/>
      <c r="H475" s="1182"/>
      <c r="I475" s="1182">
        <v>60</v>
      </c>
      <c r="J475" s="1182">
        <v>60</v>
      </c>
      <c r="K475" s="1182">
        <v>60</v>
      </c>
      <c r="L475" s="1159"/>
    </row>
    <row r="476" spans="2:12" ht="21.75" customHeight="1">
      <c r="B476" s="1165" t="s">
        <v>457</v>
      </c>
      <c r="C476" s="1164"/>
      <c r="D476" s="1141">
        <v>10422</v>
      </c>
      <c r="E476" s="1141">
        <v>43710.9</v>
      </c>
      <c r="F476" s="1082">
        <f>I476*20%</f>
        <v>15360</v>
      </c>
      <c r="G476" s="1082">
        <f>I476*45%</f>
        <v>34560</v>
      </c>
      <c r="H476" s="1082">
        <f>I476*70%</f>
        <v>53760</v>
      </c>
      <c r="I476" s="1141">
        <v>76800</v>
      </c>
      <c r="J476" s="1141">
        <v>76800</v>
      </c>
      <c r="K476" s="1141">
        <v>76800</v>
      </c>
      <c r="L476" s="1159"/>
    </row>
    <row r="477" spans="2:12" s="1060" customFormat="1" ht="41.25" customHeight="1">
      <c r="B477" s="1134"/>
      <c r="C477" s="1075"/>
      <c r="D477" s="1131"/>
      <c r="E477" s="1131"/>
      <c r="F477" s="1158"/>
      <c r="G477" s="1158"/>
      <c r="H477" s="1158"/>
      <c r="I477" s="1157"/>
      <c r="J477" s="1062"/>
      <c r="K477" s="1062"/>
      <c r="L477" s="1062"/>
    </row>
    <row r="478" spans="2:12" ht="15" customHeight="1">
      <c r="B478" s="1176" t="s">
        <v>487</v>
      </c>
      <c r="C478" s="1105" t="s">
        <v>486</v>
      </c>
      <c r="D478" s="1179"/>
      <c r="E478" s="1179"/>
      <c r="F478" s="1179"/>
      <c r="G478" s="1179"/>
      <c r="H478" s="1179"/>
      <c r="I478" s="1179"/>
      <c r="J478" s="1062"/>
      <c r="K478" s="1061"/>
      <c r="L478" s="1181"/>
    </row>
    <row r="479" spans="2:12" ht="14.25" customHeight="1">
      <c r="B479" s="1176" t="s">
        <v>485</v>
      </c>
      <c r="C479" s="1180">
        <v>104006</v>
      </c>
      <c r="D479" s="1179"/>
      <c r="E479" s="1179"/>
      <c r="F479" s="1179"/>
      <c r="G479" s="1179"/>
      <c r="H479" s="1179"/>
      <c r="I479" s="1179"/>
      <c r="J479" s="1062"/>
      <c r="K479" s="1061"/>
      <c r="L479" s="1061"/>
    </row>
    <row r="480" spans="2:12">
      <c r="B480" s="1176" t="s">
        <v>484</v>
      </c>
      <c r="C480" s="1105" t="s">
        <v>454</v>
      </c>
      <c r="D480" s="1179"/>
      <c r="E480" s="1179"/>
      <c r="F480" s="1179"/>
      <c r="G480" s="1179"/>
      <c r="H480" s="1179"/>
      <c r="I480" s="1179"/>
      <c r="J480" s="1062"/>
      <c r="K480" s="1061"/>
      <c r="L480" s="1061"/>
    </row>
    <row r="481" spans="1:15">
      <c r="B481" s="1176" t="s">
        <v>482</v>
      </c>
      <c r="C481" s="1178">
        <v>1173</v>
      </c>
      <c r="D481" s="2111" t="s">
        <v>481</v>
      </c>
      <c r="E481" s="2112"/>
      <c r="F481" s="2112"/>
      <c r="G481" s="2112"/>
      <c r="H481" s="2112"/>
      <c r="I481" s="2112"/>
      <c r="J481" s="2112"/>
      <c r="K481" s="2112"/>
      <c r="L481" s="2113"/>
    </row>
    <row r="482" spans="1:15" ht="12.75" customHeight="1">
      <c r="B482" s="1176" t="s">
        <v>480</v>
      </c>
      <c r="C482" s="1177">
        <v>11005</v>
      </c>
      <c r="D482" s="2117" t="s">
        <v>479</v>
      </c>
      <c r="E482" s="2117" t="s">
        <v>478</v>
      </c>
      <c r="F482" s="2117" t="s">
        <v>477</v>
      </c>
      <c r="G482" s="2117" t="s">
        <v>476</v>
      </c>
      <c r="H482" s="2117" t="s">
        <v>475</v>
      </c>
      <c r="I482" s="2117" t="s">
        <v>445</v>
      </c>
      <c r="J482" s="2123" t="s">
        <v>474</v>
      </c>
      <c r="K482" s="2123" t="s">
        <v>473</v>
      </c>
      <c r="L482" s="2120" t="s">
        <v>472</v>
      </c>
    </row>
    <row r="483" spans="1:15" ht="15.75" customHeight="1">
      <c r="B483" s="1176" t="s">
        <v>350</v>
      </c>
      <c r="C483" s="1175" t="s">
        <v>373</v>
      </c>
      <c r="D483" s="2118"/>
      <c r="E483" s="2118"/>
      <c r="F483" s="2118"/>
      <c r="G483" s="2118"/>
      <c r="H483" s="2118"/>
      <c r="I483" s="2118"/>
      <c r="J483" s="2123"/>
      <c r="K483" s="2123"/>
      <c r="L483" s="2120"/>
    </row>
    <row r="484" spans="1:15" ht="26.25" customHeight="1">
      <c r="B484" s="1174" t="s">
        <v>471</v>
      </c>
      <c r="C484" s="1173" t="s">
        <v>513</v>
      </c>
      <c r="D484" s="2118"/>
      <c r="E484" s="2118"/>
      <c r="F484" s="2118"/>
      <c r="G484" s="2118"/>
      <c r="H484" s="2118"/>
      <c r="I484" s="2118"/>
      <c r="J484" s="2123"/>
      <c r="K484" s="2123"/>
      <c r="L484" s="2120"/>
    </row>
    <row r="485" spans="1:15" ht="20.25" customHeight="1">
      <c r="B485" s="1172" t="s">
        <v>346</v>
      </c>
      <c r="C485" s="1016" t="s">
        <v>345</v>
      </c>
      <c r="D485" s="2118"/>
      <c r="E485" s="2118"/>
      <c r="F485" s="2118"/>
      <c r="G485" s="2118"/>
      <c r="H485" s="2118"/>
      <c r="I485" s="2118"/>
      <c r="J485" s="2123"/>
      <c r="K485" s="2123"/>
      <c r="L485" s="2120"/>
    </row>
    <row r="486" spans="1:15" ht="17.25" customHeight="1">
      <c r="B486" s="1171" t="s">
        <v>512</v>
      </c>
      <c r="C486" s="1170" t="s">
        <v>467</v>
      </c>
      <c r="D486" s="2118"/>
      <c r="E486" s="2118"/>
      <c r="F486" s="2118"/>
      <c r="G486" s="2118"/>
      <c r="H486" s="2118"/>
      <c r="I486" s="2118"/>
      <c r="J486" s="2123"/>
      <c r="K486" s="2123"/>
      <c r="L486" s="2120"/>
    </row>
    <row r="487" spans="1:15">
      <c r="B487" s="2124" t="s">
        <v>466</v>
      </c>
      <c r="C487" s="2125"/>
      <c r="D487" s="2119"/>
      <c r="E487" s="2119"/>
      <c r="F487" s="2119"/>
      <c r="G487" s="2119"/>
      <c r="H487" s="2119"/>
      <c r="I487" s="2119"/>
      <c r="J487" s="2123"/>
      <c r="K487" s="2123"/>
      <c r="L487" s="2120"/>
    </row>
    <row r="488" spans="1:15" ht="24.75" customHeight="1">
      <c r="B488" s="1169" t="s">
        <v>462</v>
      </c>
      <c r="C488" s="1084" t="s">
        <v>511</v>
      </c>
      <c r="D488" s="1168">
        <v>45</v>
      </c>
      <c r="E488" s="1168">
        <v>45</v>
      </c>
      <c r="F488" s="1167">
        <v>5</v>
      </c>
      <c r="G488" s="1167">
        <v>20</v>
      </c>
      <c r="H488" s="1167">
        <v>35</v>
      </c>
      <c r="I488" s="1166">
        <v>45</v>
      </c>
      <c r="J488" s="1166">
        <v>45</v>
      </c>
      <c r="K488" s="1166">
        <v>45</v>
      </c>
      <c r="L488" s="1159"/>
    </row>
    <row r="489" spans="1:15" ht="39" customHeight="1">
      <c r="B489" s="1169" t="s">
        <v>462</v>
      </c>
      <c r="C489" s="1084" t="s">
        <v>510</v>
      </c>
      <c r="D489" s="1168">
        <v>10</v>
      </c>
      <c r="E489" s="1168">
        <v>10</v>
      </c>
      <c r="F489" s="1167">
        <v>1</v>
      </c>
      <c r="G489" s="1167">
        <v>4</v>
      </c>
      <c r="H489" s="1167">
        <v>7</v>
      </c>
      <c r="I489" s="1166">
        <v>10</v>
      </c>
      <c r="J489" s="1166">
        <v>10</v>
      </c>
      <c r="K489" s="1166">
        <v>10</v>
      </c>
      <c r="L489" s="1159"/>
    </row>
    <row r="490" spans="1:15" ht="25.5">
      <c r="B490" s="1169" t="s">
        <v>459</v>
      </c>
      <c r="C490" s="1084" t="s">
        <v>509</v>
      </c>
      <c r="D490" s="1168">
        <v>80</v>
      </c>
      <c r="E490" s="1168">
        <v>80</v>
      </c>
      <c r="F490" s="1167">
        <v>10</v>
      </c>
      <c r="G490" s="1167">
        <v>40</v>
      </c>
      <c r="H490" s="1167">
        <v>60</v>
      </c>
      <c r="I490" s="1166">
        <v>80</v>
      </c>
      <c r="J490" s="1166">
        <v>80</v>
      </c>
      <c r="K490" s="1166">
        <v>80</v>
      </c>
      <c r="L490" s="1159"/>
    </row>
    <row r="491" spans="1:15" ht="22.5" customHeight="1">
      <c r="B491" s="1165" t="s">
        <v>457</v>
      </c>
      <c r="C491" s="1164"/>
      <c r="D491" s="1163">
        <v>49293.9</v>
      </c>
      <c r="E491" s="1162">
        <v>53325.8</v>
      </c>
      <c r="F491" s="1082">
        <f>I491*20%</f>
        <v>10665.160000000002</v>
      </c>
      <c r="G491" s="1082">
        <f>I491*45%</f>
        <v>23996.61</v>
      </c>
      <c r="H491" s="1082">
        <f>I491*70%</f>
        <v>37328.06</v>
      </c>
      <c r="I491" s="1162">
        <v>53325.8</v>
      </c>
      <c r="J491" s="1161">
        <v>53325.8</v>
      </c>
      <c r="K491" s="1160">
        <v>53325.8</v>
      </c>
      <c r="L491" s="1159"/>
    </row>
    <row r="492" spans="1:15" s="1060" customFormat="1" ht="30.75" customHeight="1">
      <c r="B492" s="1134"/>
      <c r="C492" s="1075"/>
      <c r="D492" s="1131"/>
      <c r="E492" s="1131"/>
      <c r="F492" s="1158"/>
      <c r="G492" s="1158"/>
      <c r="H492" s="1158"/>
      <c r="I492" s="1157"/>
      <c r="J492" s="1062"/>
      <c r="K492" s="1062"/>
      <c r="L492" s="1062"/>
    </row>
    <row r="493" spans="1:15" s="1101" customFormat="1" ht="14.25">
      <c r="A493" s="1103"/>
      <c r="B493" s="1106" t="s">
        <v>487</v>
      </c>
      <c r="C493" s="1108" t="s">
        <v>486</v>
      </c>
      <c r="D493" s="1107"/>
      <c r="E493" s="1034"/>
      <c r="F493" s="1103"/>
      <c r="G493" s="1103"/>
      <c r="H493" s="1103"/>
      <c r="I493" s="1103"/>
      <c r="J493" s="1104"/>
      <c r="K493" s="1103"/>
      <c r="L493" s="1103"/>
      <c r="M493" s="1102"/>
      <c r="N493" s="1102"/>
      <c r="O493" s="1102"/>
    </row>
    <row r="494" spans="1:15" s="1101" customFormat="1" ht="25.5">
      <c r="A494" s="1103"/>
      <c r="B494" s="1106" t="s">
        <v>485</v>
      </c>
      <c r="C494" s="1127">
        <v>105050</v>
      </c>
      <c r="D494" s="1104"/>
      <c r="E494" s="1103"/>
      <c r="F494" s="1103"/>
      <c r="G494" s="1103"/>
      <c r="H494" s="1103"/>
      <c r="I494" s="1103"/>
      <c r="J494" s="1104"/>
      <c r="K494" s="1103"/>
      <c r="L494" s="1103"/>
      <c r="M494" s="1102"/>
      <c r="N494" s="1102"/>
      <c r="O494" s="1102"/>
    </row>
    <row r="495" spans="1:15" s="1101" customFormat="1">
      <c r="A495" s="1103"/>
      <c r="B495" s="1106" t="s">
        <v>484</v>
      </c>
      <c r="C495" s="1105" t="s">
        <v>506</v>
      </c>
      <c r="D495" s="1104"/>
      <c r="E495" s="1103"/>
      <c r="F495" s="1103"/>
      <c r="G495" s="1103"/>
      <c r="H495" s="1103"/>
      <c r="I495" s="1103"/>
      <c r="J495" s="1104"/>
      <c r="K495" s="1103"/>
      <c r="L495" s="1103"/>
      <c r="M495" s="1102"/>
      <c r="N495" s="1102"/>
      <c r="O495" s="1102"/>
    </row>
    <row r="496" spans="1:15" s="995" customFormat="1" ht="25.5" customHeight="1">
      <c r="A496" s="1034"/>
      <c r="B496" s="1098" t="s">
        <v>482</v>
      </c>
      <c r="C496" s="1100">
        <v>1173</v>
      </c>
      <c r="D496" s="2111" t="s">
        <v>481</v>
      </c>
      <c r="E496" s="2112"/>
      <c r="F496" s="2112"/>
      <c r="G496" s="2112"/>
      <c r="H496" s="2112"/>
      <c r="I496" s="2112"/>
      <c r="J496" s="2112"/>
      <c r="K496" s="2112"/>
      <c r="L496" s="2113"/>
      <c r="M496" s="1008"/>
      <c r="N496" s="1008"/>
      <c r="O496" s="1008"/>
    </row>
    <row r="497" spans="1:15" s="995" customFormat="1" ht="21.75" customHeight="1">
      <c r="A497" s="1034"/>
      <c r="B497" s="1098" t="s">
        <v>480</v>
      </c>
      <c r="C497" s="1099">
        <v>31001</v>
      </c>
      <c r="D497" s="2117" t="s">
        <v>479</v>
      </c>
      <c r="E497" s="2117" t="s">
        <v>478</v>
      </c>
      <c r="F497" s="2117" t="s">
        <v>477</v>
      </c>
      <c r="G497" s="2117" t="s">
        <v>476</v>
      </c>
      <c r="H497" s="2117" t="s">
        <v>475</v>
      </c>
      <c r="I497" s="2117" t="s">
        <v>445</v>
      </c>
      <c r="J497" s="2123" t="s">
        <v>474</v>
      </c>
      <c r="K497" s="2123" t="s">
        <v>473</v>
      </c>
      <c r="L497" s="2120" t="s">
        <v>472</v>
      </c>
      <c r="M497" s="1008"/>
      <c r="N497" s="1008"/>
      <c r="O497" s="1008"/>
    </row>
    <row r="498" spans="1:15" s="995" customFormat="1" ht="25.5" customHeight="1">
      <c r="A498" s="1034"/>
      <c r="B498" s="1098" t="s">
        <v>350</v>
      </c>
      <c r="C498" s="1124" t="s">
        <v>508</v>
      </c>
      <c r="D498" s="2118"/>
      <c r="E498" s="2118"/>
      <c r="F498" s="2118"/>
      <c r="G498" s="2118"/>
      <c r="H498" s="2118"/>
      <c r="I498" s="2118"/>
      <c r="J498" s="2123"/>
      <c r="K498" s="2123"/>
      <c r="L498" s="2120"/>
      <c r="M498" s="1008"/>
      <c r="N498" s="1008"/>
      <c r="O498" s="1008"/>
    </row>
    <row r="499" spans="1:15" s="1091" customFormat="1" ht="29.25" customHeight="1">
      <c r="A499" s="1094"/>
      <c r="B499" s="1090" t="s">
        <v>471</v>
      </c>
      <c r="C499" s="1124" t="s">
        <v>507</v>
      </c>
      <c r="D499" s="2118"/>
      <c r="E499" s="2118"/>
      <c r="F499" s="2118"/>
      <c r="G499" s="2118"/>
      <c r="H499" s="2118"/>
      <c r="I499" s="2118"/>
      <c r="J499" s="2123"/>
      <c r="K499" s="2123"/>
      <c r="L499" s="2120"/>
      <c r="M499" s="1078"/>
      <c r="N499" s="1078"/>
      <c r="O499" s="1078"/>
    </row>
    <row r="500" spans="1:15" s="1091" customFormat="1" ht="33" customHeight="1">
      <c r="A500" s="1094"/>
      <c r="B500" s="1096" t="s">
        <v>469</v>
      </c>
      <c r="C500" s="1156" t="s">
        <v>366</v>
      </c>
      <c r="D500" s="2118"/>
      <c r="E500" s="2118"/>
      <c r="F500" s="2118"/>
      <c r="G500" s="2118"/>
      <c r="H500" s="2118"/>
      <c r="I500" s="2118"/>
      <c r="J500" s="2123"/>
      <c r="K500" s="2123"/>
      <c r="L500" s="2120"/>
      <c r="M500" s="1078"/>
      <c r="N500" s="1078"/>
      <c r="O500" s="1078"/>
    </row>
    <row r="501" spans="1:15" s="1091" customFormat="1" ht="25.5" customHeight="1">
      <c r="A501" s="1094"/>
      <c r="B501" s="1093" t="s">
        <v>468</v>
      </c>
      <c r="C501" s="1105" t="s">
        <v>506</v>
      </c>
      <c r="D501" s="2118"/>
      <c r="E501" s="2118"/>
      <c r="F501" s="2118"/>
      <c r="G501" s="2118"/>
      <c r="H501" s="2118"/>
      <c r="I501" s="2118"/>
      <c r="J501" s="2123"/>
      <c r="K501" s="2123"/>
      <c r="L501" s="2120"/>
      <c r="M501" s="1078"/>
      <c r="N501" s="1078"/>
      <c r="O501" s="1078"/>
    </row>
    <row r="502" spans="1:15" s="1091" customFormat="1" ht="21" customHeight="1">
      <c r="A502" s="1094"/>
      <c r="B502" s="1090" t="s">
        <v>466</v>
      </c>
      <c r="C502" s="1090"/>
      <c r="D502" s="2119"/>
      <c r="E502" s="2119"/>
      <c r="F502" s="2119"/>
      <c r="G502" s="2119"/>
      <c r="H502" s="2119"/>
      <c r="I502" s="2119"/>
      <c r="J502" s="2123"/>
      <c r="K502" s="2123"/>
      <c r="L502" s="2120"/>
      <c r="M502" s="1078"/>
      <c r="N502" s="1078"/>
      <c r="O502" s="1078"/>
    </row>
    <row r="503" spans="1:15" s="1091" customFormat="1" ht="18.75" customHeight="1">
      <c r="A503" s="1094"/>
      <c r="B503" s="1086" t="s">
        <v>462</v>
      </c>
      <c r="C503" s="1148" t="s">
        <v>505</v>
      </c>
      <c r="D503" s="1080"/>
      <c r="E503" s="1121">
        <v>26</v>
      </c>
      <c r="F503" s="1080"/>
      <c r="G503" s="1080">
        <v>14</v>
      </c>
      <c r="H503" s="1080">
        <v>14</v>
      </c>
      <c r="I503" s="1080">
        <v>14</v>
      </c>
      <c r="J503" s="1146"/>
      <c r="K503" s="1110"/>
      <c r="L503" s="1155">
        <v>2021</v>
      </c>
      <c r="M503" s="1078"/>
      <c r="N503" s="1078"/>
      <c r="O503" s="1078"/>
    </row>
    <row r="504" spans="1:15" s="1091" customFormat="1" ht="28.5" customHeight="1">
      <c r="A504" s="1094"/>
      <c r="B504" s="1086" t="s">
        <v>459</v>
      </c>
      <c r="C504" s="1084" t="s">
        <v>504</v>
      </c>
      <c r="D504" s="1080"/>
      <c r="E504" s="1121">
        <v>92</v>
      </c>
      <c r="F504" s="1080"/>
      <c r="G504" s="1080">
        <v>97</v>
      </c>
      <c r="H504" s="1080">
        <v>97</v>
      </c>
      <c r="I504" s="1080">
        <v>97</v>
      </c>
      <c r="J504" s="1146"/>
      <c r="K504" s="1110"/>
      <c r="L504" s="1155">
        <v>2021</v>
      </c>
      <c r="M504" s="1078"/>
      <c r="N504" s="1078"/>
      <c r="O504" s="1078"/>
    </row>
    <row r="505" spans="1:15" s="1091" customFormat="1" ht="24.75" customHeight="1">
      <c r="A505" s="1094"/>
      <c r="B505" s="2138" t="s">
        <v>457</v>
      </c>
      <c r="C505" s="2138"/>
      <c r="D505" s="1141">
        <v>3499.5</v>
      </c>
      <c r="E505" s="1141">
        <v>3552.8</v>
      </c>
      <c r="F505" s="1082">
        <f>I505*20%</f>
        <v>3692</v>
      </c>
      <c r="G505" s="1082">
        <f>I505*45%</f>
        <v>8307</v>
      </c>
      <c r="H505" s="1082">
        <f>I505*70%</f>
        <v>12922</v>
      </c>
      <c r="I505" s="1141">
        <v>18460</v>
      </c>
      <c r="J505" s="1141">
        <v>0</v>
      </c>
      <c r="K505" s="1141">
        <v>0</v>
      </c>
      <c r="L505" s="1110"/>
      <c r="M505" s="1078"/>
      <c r="N505" s="1078"/>
      <c r="O505" s="1078"/>
    </row>
    <row r="506" spans="1:15" s="1128" customFormat="1" ht="15" customHeight="1">
      <c r="B506" s="1154"/>
      <c r="C506" s="1153"/>
      <c r="D506" s="1152"/>
      <c r="E506" s="1151"/>
      <c r="F506" s="1151"/>
      <c r="G506" s="1151"/>
      <c r="H506" s="1151"/>
      <c r="I506" s="1150"/>
    </row>
    <row r="507" spans="1:15" s="1078" customFormat="1" ht="7.5" customHeight="1">
      <c r="A507" s="1128"/>
      <c r="B507" s="1154"/>
      <c r="C507" s="1153"/>
      <c r="D507" s="1152"/>
      <c r="E507" s="1151"/>
      <c r="F507" s="1151"/>
      <c r="G507" s="1151"/>
      <c r="H507" s="1151"/>
      <c r="I507" s="1150"/>
      <c r="J507" s="1128"/>
      <c r="K507" s="1128"/>
      <c r="L507" s="1128"/>
    </row>
    <row r="508" spans="1:15" s="1101" customFormat="1" ht="14.25">
      <c r="A508" s="1103"/>
      <c r="B508" s="1106" t="s">
        <v>487</v>
      </c>
      <c r="C508" s="1108" t="s">
        <v>486</v>
      </c>
      <c r="D508" s="1107"/>
      <c r="E508" s="1034"/>
      <c r="F508" s="1103"/>
      <c r="G508" s="1103"/>
      <c r="H508" s="1103"/>
      <c r="I508" s="1103"/>
      <c r="J508" s="1104"/>
      <c r="K508" s="1103"/>
      <c r="L508" s="1103"/>
      <c r="M508" s="1102"/>
      <c r="N508" s="1102"/>
      <c r="O508" s="1102"/>
    </row>
    <row r="509" spans="1:15" s="1101" customFormat="1" ht="25.5">
      <c r="A509" s="1103"/>
      <c r="B509" s="1106" t="s">
        <v>485</v>
      </c>
      <c r="C509" s="1127">
        <v>105050</v>
      </c>
      <c r="D509" s="1104"/>
      <c r="E509" s="1103"/>
      <c r="F509" s="1103"/>
      <c r="G509" s="1103"/>
      <c r="H509" s="1104"/>
      <c r="I509" s="1103"/>
      <c r="J509" s="1104"/>
      <c r="K509" s="1103"/>
      <c r="L509" s="1103"/>
      <c r="M509" s="1102"/>
      <c r="N509" s="1102"/>
      <c r="O509" s="1102"/>
    </row>
    <row r="510" spans="1:15" s="1101" customFormat="1">
      <c r="A510" s="1103"/>
      <c r="B510" s="1106" t="s">
        <v>484</v>
      </c>
      <c r="C510" s="1105" t="s">
        <v>498</v>
      </c>
      <c r="D510" s="1104"/>
      <c r="E510" s="1103"/>
      <c r="F510" s="1103"/>
      <c r="G510" s="1103"/>
      <c r="H510" s="1103"/>
      <c r="I510" s="1103"/>
      <c r="J510" s="1104"/>
      <c r="K510" s="1103"/>
      <c r="L510" s="1103"/>
      <c r="M510" s="1102"/>
      <c r="N510" s="1102"/>
      <c r="O510" s="1102"/>
    </row>
    <row r="511" spans="1:15" s="995" customFormat="1" ht="15.75" customHeight="1">
      <c r="A511" s="1034"/>
      <c r="B511" s="1098" t="s">
        <v>482</v>
      </c>
      <c r="C511" s="1100">
        <v>1173</v>
      </c>
      <c r="D511" s="2111" t="s">
        <v>481</v>
      </c>
      <c r="E511" s="2112"/>
      <c r="F511" s="2112"/>
      <c r="G511" s="2112"/>
      <c r="H511" s="2112"/>
      <c r="I511" s="2112"/>
      <c r="J511" s="2112"/>
      <c r="K511" s="2112"/>
      <c r="L511" s="2113"/>
      <c r="M511" s="1008"/>
      <c r="N511" s="1008"/>
      <c r="O511" s="1008"/>
    </row>
    <row r="512" spans="1:15" s="995" customFormat="1" ht="14.25" customHeight="1">
      <c r="A512" s="1034"/>
      <c r="B512" s="1098" t="s">
        <v>480</v>
      </c>
      <c r="C512" s="1099">
        <v>31003</v>
      </c>
      <c r="D512" s="2117" t="s">
        <v>479</v>
      </c>
      <c r="E512" s="2117" t="s">
        <v>478</v>
      </c>
      <c r="F512" s="2117" t="s">
        <v>477</v>
      </c>
      <c r="G512" s="2117" t="s">
        <v>476</v>
      </c>
      <c r="H512" s="2117" t="s">
        <v>475</v>
      </c>
      <c r="I512" s="2117" t="s">
        <v>445</v>
      </c>
      <c r="J512" s="2123" t="s">
        <v>474</v>
      </c>
      <c r="K512" s="2123" t="s">
        <v>473</v>
      </c>
      <c r="L512" s="2120"/>
      <c r="M512" s="1008"/>
      <c r="N512" s="1008"/>
      <c r="O512" s="1008"/>
    </row>
    <row r="513" spans="1:15" s="995" customFormat="1" ht="27.75" customHeight="1">
      <c r="A513" s="1034"/>
      <c r="B513" s="1098" t="s">
        <v>350</v>
      </c>
      <c r="C513" s="1125" t="s">
        <v>503</v>
      </c>
      <c r="D513" s="2118"/>
      <c r="E513" s="2118"/>
      <c r="F513" s="2118"/>
      <c r="G513" s="2118"/>
      <c r="H513" s="2118"/>
      <c r="I513" s="2118"/>
      <c r="J513" s="2123"/>
      <c r="K513" s="2123"/>
      <c r="L513" s="2120"/>
      <c r="M513" s="1008"/>
      <c r="N513" s="1008"/>
      <c r="O513" s="1008"/>
    </row>
    <row r="514" spans="1:15" s="1091" customFormat="1" ht="19.5" customHeight="1">
      <c r="A514" s="1094"/>
      <c r="B514" s="1090" t="s">
        <v>471</v>
      </c>
      <c r="C514" s="1124" t="s">
        <v>502</v>
      </c>
      <c r="D514" s="2118"/>
      <c r="E514" s="2118"/>
      <c r="F514" s="2118"/>
      <c r="G514" s="2118"/>
      <c r="H514" s="2118"/>
      <c r="I514" s="2118"/>
      <c r="J514" s="2123"/>
      <c r="K514" s="2123"/>
      <c r="L514" s="2120"/>
      <c r="M514" s="1078"/>
      <c r="N514" s="1078"/>
      <c r="O514" s="1078"/>
    </row>
    <row r="515" spans="1:15" s="1091" customFormat="1" ht="27.75" customHeight="1">
      <c r="A515" s="1094"/>
      <c r="B515" s="1096" t="s">
        <v>469</v>
      </c>
      <c r="C515" s="1149" t="s">
        <v>366</v>
      </c>
      <c r="D515" s="2118"/>
      <c r="E515" s="2118"/>
      <c r="F515" s="2118"/>
      <c r="G515" s="2118"/>
      <c r="H515" s="2118"/>
      <c r="I515" s="2118"/>
      <c r="J515" s="2123"/>
      <c r="K515" s="2123"/>
      <c r="L515" s="2120"/>
      <c r="M515" s="1078"/>
      <c r="N515" s="1078"/>
      <c r="O515" s="1078"/>
    </row>
    <row r="516" spans="1:15" s="1091" customFormat="1" ht="16.5" customHeight="1">
      <c r="A516" s="1094"/>
      <c r="B516" s="1093" t="s">
        <v>468</v>
      </c>
      <c r="C516" s="1105" t="s">
        <v>498</v>
      </c>
      <c r="D516" s="2118"/>
      <c r="E516" s="2118"/>
      <c r="F516" s="2118"/>
      <c r="G516" s="2118"/>
      <c r="H516" s="2118"/>
      <c r="I516" s="2118"/>
      <c r="J516" s="2123"/>
      <c r="K516" s="2123"/>
      <c r="L516" s="2120"/>
      <c r="M516" s="1078"/>
      <c r="N516" s="1078"/>
      <c r="O516" s="1078"/>
    </row>
    <row r="517" spans="1:15" s="1091" customFormat="1" ht="15" customHeight="1">
      <c r="A517" s="1094"/>
      <c r="B517" s="1090" t="s">
        <v>466</v>
      </c>
      <c r="C517" s="1090"/>
      <c r="D517" s="2119"/>
      <c r="E517" s="2119"/>
      <c r="F517" s="2119"/>
      <c r="G517" s="2119"/>
      <c r="H517" s="2119"/>
      <c r="I517" s="2119"/>
      <c r="J517" s="2123"/>
      <c r="K517" s="2123"/>
      <c r="L517" s="2120"/>
      <c r="M517" s="1078"/>
      <c r="N517" s="1078"/>
      <c r="O517" s="1078"/>
    </row>
    <row r="518" spans="1:15" s="1091" customFormat="1" ht="18" customHeight="1">
      <c r="A518" s="1094"/>
      <c r="B518" s="1086" t="s">
        <v>462</v>
      </c>
      <c r="C518" s="1148" t="s">
        <v>501</v>
      </c>
      <c r="D518" s="1080">
        <v>0</v>
      </c>
      <c r="E518" s="1121">
        <v>573.1</v>
      </c>
      <c r="F518" s="1147"/>
      <c r="G518" s="1147"/>
      <c r="H518" s="1147"/>
      <c r="I518" s="1147"/>
      <c r="J518" s="1146"/>
      <c r="K518" s="1110"/>
      <c r="L518" s="1145">
        <v>2020</v>
      </c>
      <c r="M518" s="1078"/>
      <c r="N518" s="1078"/>
      <c r="O518" s="1078"/>
    </row>
    <row r="519" spans="1:15" s="1091" customFormat="1" ht="18" customHeight="1">
      <c r="A519" s="1094"/>
      <c r="B519" s="2121" t="s">
        <v>457</v>
      </c>
      <c r="C519" s="2122"/>
      <c r="D519" s="1141">
        <v>0</v>
      </c>
      <c r="E519" s="1141">
        <v>61126</v>
      </c>
      <c r="F519" s="1141"/>
      <c r="G519" s="1141"/>
      <c r="H519" s="1141"/>
      <c r="I519" s="1141">
        <v>0</v>
      </c>
      <c r="J519" s="1141">
        <v>0</v>
      </c>
      <c r="K519" s="1141">
        <v>0</v>
      </c>
      <c r="L519" s="1110"/>
      <c r="M519" s="1078"/>
      <c r="N519" s="1078"/>
      <c r="O519" s="1078"/>
    </row>
    <row r="520" spans="1:15" s="995" customFormat="1" ht="51" customHeight="1">
      <c r="A520" s="1034"/>
      <c r="B520" s="1109"/>
      <c r="C520" s="1034"/>
      <c r="D520" s="1107"/>
      <c r="E520" s="1034"/>
      <c r="F520" s="1034"/>
      <c r="G520" s="1034"/>
      <c r="H520" s="1034"/>
      <c r="I520" s="1034"/>
      <c r="J520" s="1107"/>
      <c r="K520" s="1034"/>
      <c r="L520" s="1034"/>
      <c r="M520" s="1008"/>
      <c r="N520" s="1008"/>
      <c r="O520" s="1008"/>
    </row>
    <row r="521" spans="1:15" s="1101" customFormat="1" ht="14.25">
      <c r="A521" s="1103"/>
      <c r="B521" s="1106" t="s">
        <v>487</v>
      </c>
      <c r="C521" s="1108" t="s">
        <v>486</v>
      </c>
      <c r="D521" s="1107"/>
      <c r="E521" s="1034"/>
      <c r="F521" s="1103"/>
      <c r="G521" s="1103"/>
      <c r="H521" s="1103"/>
      <c r="I521" s="1103"/>
      <c r="J521" s="1104"/>
      <c r="K521" s="1103"/>
      <c r="L521" s="1103"/>
      <c r="M521" s="1102"/>
      <c r="N521" s="1102"/>
      <c r="O521" s="1102"/>
    </row>
    <row r="522" spans="1:15" s="1101" customFormat="1" ht="25.5">
      <c r="A522" s="1103"/>
      <c r="B522" s="1106" t="s">
        <v>485</v>
      </c>
      <c r="C522" s="1127">
        <v>105050</v>
      </c>
      <c r="D522" s="1104"/>
      <c r="E522" s="1103"/>
      <c r="F522" s="1103"/>
      <c r="G522" s="1103"/>
      <c r="H522" s="1103"/>
      <c r="I522" s="1103"/>
      <c r="J522" s="1104"/>
      <c r="K522" s="1103"/>
      <c r="L522" s="1103"/>
      <c r="M522" s="1102"/>
      <c r="N522" s="1102"/>
      <c r="O522" s="1102"/>
    </row>
    <row r="523" spans="1:15" s="1101" customFormat="1">
      <c r="A523" s="1103"/>
      <c r="B523" s="1106" t="s">
        <v>484</v>
      </c>
      <c r="C523" s="1105" t="s">
        <v>498</v>
      </c>
      <c r="D523" s="1104"/>
      <c r="E523" s="1103"/>
      <c r="F523" s="1103"/>
      <c r="G523" s="1103"/>
      <c r="H523" s="1103"/>
      <c r="I523" s="1103"/>
      <c r="J523" s="1104"/>
      <c r="K523" s="1103"/>
      <c r="L523" s="1103"/>
      <c r="M523" s="1102"/>
      <c r="N523" s="1102"/>
      <c r="O523" s="1102"/>
    </row>
    <row r="524" spans="1:15" s="995" customFormat="1" ht="15.75" customHeight="1">
      <c r="A524" s="1034"/>
      <c r="B524" s="1098" t="s">
        <v>482</v>
      </c>
      <c r="C524" s="1100">
        <v>1173</v>
      </c>
      <c r="D524" s="2111" t="s">
        <v>481</v>
      </c>
      <c r="E524" s="2112"/>
      <c r="F524" s="2112"/>
      <c r="G524" s="2112"/>
      <c r="H524" s="2112"/>
      <c r="I524" s="2112"/>
      <c r="J524" s="2112"/>
      <c r="K524" s="2112"/>
      <c r="L524" s="2113"/>
      <c r="M524" s="1008"/>
      <c r="N524" s="1008"/>
      <c r="O524" s="1008"/>
    </row>
    <row r="525" spans="1:15" s="995" customFormat="1" ht="16.5" customHeight="1">
      <c r="A525" s="1034"/>
      <c r="B525" s="1098" t="s">
        <v>480</v>
      </c>
      <c r="C525" s="1099">
        <v>32001</v>
      </c>
      <c r="D525" s="2117" t="s">
        <v>479</v>
      </c>
      <c r="E525" s="2117" t="s">
        <v>478</v>
      </c>
      <c r="F525" s="2117" t="s">
        <v>477</v>
      </c>
      <c r="G525" s="2117" t="s">
        <v>476</v>
      </c>
      <c r="H525" s="2117" t="s">
        <v>475</v>
      </c>
      <c r="I525" s="2117" t="s">
        <v>445</v>
      </c>
      <c r="J525" s="2123" t="s">
        <v>474</v>
      </c>
      <c r="K525" s="2123" t="s">
        <v>473</v>
      </c>
      <c r="L525" s="2120" t="s">
        <v>472</v>
      </c>
      <c r="M525" s="1008"/>
      <c r="N525" s="1008"/>
      <c r="O525" s="1008"/>
    </row>
    <row r="526" spans="1:15" s="995" customFormat="1" ht="18" customHeight="1">
      <c r="A526" s="1034"/>
      <c r="B526" s="1098" t="s">
        <v>350</v>
      </c>
      <c r="C526" s="1144" t="s">
        <v>365</v>
      </c>
      <c r="D526" s="2118"/>
      <c r="E526" s="2118"/>
      <c r="F526" s="2118"/>
      <c r="G526" s="2118"/>
      <c r="H526" s="2118"/>
      <c r="I526" s="2118"/>
      <c r="J526" s="2123"/>
      <c r="K526" s="2123"/>
      <c r="L526" s="2120"/>
      <c r="M526" s="1008"/>
      <c r="N526" s="1008"/>
      <c r="O526" s="1008"/>
    </row>
    <row r="527" spans="1:15" s="1091" customFormat="1" ht="28.5" customHeight="1">
      <c r="A527" s="1094"/>
      <c r="B527" s="1090" t="s">
        <v>471</v>
      </c>
      <c r="C527" s="1143" t="s">
        <v>364</v>
      </c>
      <c r="D527" s="2118"/>
      <c r="E527" s="2118"/>
      <c r="F527" s="2118"/>
      <c r="G527" s="2118"/>
      <c r="H527" s="2118"/>
      <c r="I527" s="2118"/>
      <c r="J527" s="2123"/>
      <c r="K527" s="2123"/>
      <c r="L527" s="2120"/>
      <c r="M527" s="1078"/>
      <c r="N527" s="1078"/>
      <c r="O527" s="1078"/>
    </row>
    <row r="528" spans="1:15" s="1091" customFormat="1" ht="27.75" customHeight="1">
      <c r="A528" s="1094"/>
      <c r="B528" s="1096" t="s">
        <v>469</v>
      </c>
      <c r="C528" s="1142" t="s">
        <v>361</v>
      </c>
      <c r="D528" s="2118"/>
      <c r="E528" s="2118"/>
      <c r="F528" s="2118"/>
      <c r="G528" s="2118"/>
      <c r="H528" s="2118"/>
      <c r="I528" s="2118"/>
      <c r="J528" s="2123"/>
      <c r="K528" s="2123"/>
      <c r="L528" s="2120"/>
      <c r="M528" s="1078"/>
      <c r="N528" s="1078"/>
      <c r="O528" s="1078"/>
    </row>
    <row r="529" spans="1:15" s="1091" customFormat="1" ht="16.5" customHeight="1">
      <c r="A529" s="1094"/>
      <c r="B529" s="1093" t="s">
        <v>468</v>
      </c>
      <c r="C529" s="1105" t="s">
        <v>498</v>
      </c>
      <c r="D529" s="2118"/>
      <c r="E529" s="2118"/>
      <c r="F529" s="2118"/>
      <c r="G529" s="2118"/>
      <c r="H529" s="2118"/>
      <c r="I529" s="2118"/>
      <c r="J529" s="2123"/>
      <c r="K529" s="2123"/>
      <c r="L529" s="2120"/>
      <c r="M529" s="1078"/>
      <c r="N529" s="1078"/>
      <c r="O529" s="1078"/>
    </row>
    <row r="530" spans="1:15" s="1091" customFormat="1" ht="21" customHeight="1">
      <c r="A530" s="1094"/>
      <c r="B530" s="1090" t="s">
        <v>466</v>
      </c>
      <c r="C530" s="1090"/>
      <c r="D530" s="2119"/>
      <c r="E530" s="2119"/>
      <c r="F530" s="2119"/>
      <c r="G530" s="2119"/>
      <c r="H530" s="2119"/>
      <c r="I530" s="2119"/>
      <c r="J530" s="2123"/>
      <c r="K530" s="2123"/>
      <c r="L530" s="2120"/>
      <c r="M530" s="1078"/>
      <c r="N530" s="1078"/>
      <c r="O530" s="1078"/>
    </row>
    <row r="531" spans="1:15" s="1091" customFormat="1" ht="13.5" customHeight="1">
      <c r="A531" s="1094"/>
      <c r="B531" s="1086" t="s">
        <v>462</v>
      </c>
      <c r="C531" s="1108" t="s">
        <v>500</v>
      </c>
      <c r="D531" s="1080">
        <v>150</v>
      </c>
      <c r="E531" s="1080">
        <v>150</v>
      </c>
      <c r="F531" s="1080"/>
      <c r="G531" s="1080"/>
      <c r="H531" s="1080"/>
      <c r="I531" s="1080">
        <v>400</v>
      </c>
      <c r="J531" s="1115">
        <v>500</v>
      </c>
      <c r="K531" s="1114">
        <v>600</v>
      </c>
      <c r="L531" s="1110"/>
      <c r="M531" s="1078"/>
      <c r="N531" s="1078"/>
      <c r="O531" s="1078"/>
    </row>
    <row r="532" spans="1:15" s="1091" customFormat="1" ht="15" customHeight="1">
      <c r="A532" s="1094"/>
      <c r="B532" s="1086" t="s">
        <v>459</v>
      </c>
      <c r="C532" s="1136" t="s">
        <v>499</v>
      </c>
      <c r="D532" s="1080">
        <v>0</v>
      </c>
      <c r="E532" s="1080">
        <v>60</v>
      </c>
      <c r="F532" s="1080"/>
      <c r="G532" s="1080"/>
      <c r="H532" s="1080"/>
      <c r="I532" s="1080">
        <v>60</v>
      </c>
      <c r="J532" s="1115">
        <v>60</v>
      </c>
      <c r="K532" s="1114">
        <v>60</v>
      </c>
      <c r="L532" s="1110"/>
      <c r="M532" s="1078"/>
      <c r="N532" s="1078"/>
      <c r="O532" s="1078"/>
    </row>
    <row r="533" spans="1:15" s="1091" customFormat="1" ht="21" customHeight="1">
      <c r="A533" s="1094"/>
      <c r="B533" s="2121" t="s">
        <v>457</v>
      </c>
      <c r="C533" s="2122"/>
      <c r="D533" s="1141">
        <v>346308.18</v>
      </c>
      <c r="E533" s="1135">
        <v>413781.5</v>
      </c>
      <c r="F533" s="1082">
        <f>I533*20%</f>
        <v>476321.74000000005</v>
      </c>
      <c r="G533" s="1082">
        <f>I533*45%</f>
        <v>1071723.915</v>
      </c>
      <c r="H533" s="1082">
        <f>I533*70%</f>
        <v>1667126.09</v>
      </c>
      <c r="I533" s="1135">
        <v>2381608.7000000002</v>
      </c>
      <c r="J533" s="1135">
        <v>2405032.7999999998</v>
      </c>
      <c r="K533" s="1135">
        <v>2248867.9</v>
      </c>
      <c r="L533" s="1110"/>
      <c r="M533" s="1078"/>
      <c r="N533" s="1078"/>
      <c r="O533" s="1078"/>
    </row>
    <row r="534" spans="1:15" s="995" customFormat="1" ht="14.25">
      <c r="A534" s="1034"/>
      <c r="B534" s="1109"/>
      <c r="C534" s="1034"/>
      <c r="D534" s="1107"/>
      <c r="E534" s="1034"/>
      <c r="F534" s="1034"/>
      <c r="G534" s="1034"/>
      <c r="H534" s="1034"/>
      <c r="I534" s="1034"/>
      <c r="J534" s="1107"/>
      <c r="K534" s="1034"/>
      <c r="L534" s="1034"/>
      <c r="M534" s="1008"/>
      <c r="N534" s="1008"/>
      <c r="O534" s="1008"/>
    </row>
    <row r="535" spans="1:15" s="1101" customFormat="1" ht="14.25">
      <c r="A535" s="1103"/>
      <c r="B535" s="1106" t="s">
        <v>487</v>
      </c>
      <c r="C535" s="1095" t="s">
        <v>486</v>
      </c>
      <c r="D535" s="1107"/>
      <c r="E535" s="1034"/>
      <c r="F535" s="1103"/>
      <c r="G535" s="1103"/>
      <c r="H535" s="1103"/>
      <c r="I535" s="1103"/>
      <c r="J535" s="1104"/>
      <c r="K535" s="1103"/>
      <c r="L535" s="1103"/>
      <c r="M535" s="1102"/>
      <c r="N535" s="1102"/>
      <c r="O535" s="1102"/>
    </row>
    <row r="536" spans="1:15" s="1101" customFormat="1" ht="15.75" customHeight="1">
      <c r="A536" s="1103"/>
      <c r="B536" s="1106" t="s">
        <v>485</v>
      </c>
      <c r="C536" s="1127">
        <v>105050</v>
      </c>
      <c r="D536" s="1104"/>
      <c r="E536" s="1103"/>
      <c r="F536" s="1103"/>
      <c r="G536" s="1103"/>
      <c r="H536" s="1103"/>
      <c r="I536" s="1103"/>
      <c r="J536" s="1104"/>
      <c r="K536" s="1103"/>
      <c r="L536" s="1103"/>
      <c r="M536" s="1102"/>
      <c r="N536" s="1102"/>
      <c r="O536" s="1102"/>
    </row>
    <row r="537" spans="1:15" s="1101" customFormat="1">
      <c r="A537" s="1103"/>
      <c r="B537" s="1106" t="s">
        <v>484</v>
      </c>
      <c r="C537" s="1105" t="s">
        <v>498</v>
      </c>
      <c r="D537" s="1104"/>
      <c r="E537" s="1103"/>
      <c r="F537" s="1103"/>
      <c r="G537" s="1103"/>
      <c r="H537" s="1103"/>
      <c r="I537" s="1103"/>
      <c r="J537" s="1104"/>
      <c r="K537" s="1103"/>
      <c r="L537" s="1103"/>
      <c r="M537" s="1102"/>
      <c r="N537" s="1102"/>
      <c r="O537" s="1102"/>
    </row>
    <row r="538" spans="1:15" s="995" customFormat="1" ht="15" customHeight="1">
      <c r="A538" s="1034"/>
      <c r="B538" s="1098" t="s">
        <v>482</v>
      </c>
      <c r="C538" s="1140">
        <v>1173</v>
      </c>
      <c r="D538" s="2111" t="s">
        <v>481</v>
      </c>
      <c r="E538" s="2112"/>
      <c r="F538" s="2112"/>
      <c r="G538" s="2112"/>
      <c r="H538" s="2112"/>
      <c r="I538" s="2112"/>
      <c r="J538" s="2112"/>
      <c r="K538" s="2112"/>
      <c r="L538" s="2113"/>
      <c r="M538" s="1008"/>
      <c r="N538" s="1008"/>
      <c r="O538" s="1008"/>
    </row>
    <row r="539" spans="1:15" s="995" customFormat="1" ht="16.5" customHeight="1">
      <c r="A539" s="1034"/>
      <c r="B539" s="1098" t="s">
        <v>480</v>
      </c>
      <c r="C539" s="1124">
        <v>32002</v>
      </c>
      <c r="D539" s="2117" t="s">
        <v>479</v>
      </c>
      <c r="E539" s="2117" t="s">
        <v>478</v>
      </c>
      <c r="F539" s="2117" t="s">
        <v>477</v>
      </c>
      <c r="G539" s="2117" t="s">
        <v>476</v>
      </c>
      <c r="H539" s="2117" t="s">
        <v>475</v>
      </c>
      <c r="I539" s="2117" t="s">
        <v>445</v>
      </c>
      <c r="J539" s="2123" t="s">
        <v>474</v>
      </c>
      <c r="K539" s="2123" t="s">
        <v>473</v>
      </c>
      <c r="L539" s="2120" t="s">
        <v>472</v>
      </c>
      <c r="M539" s="1008"/>
      <c r="N539" s="1008"/>
      <c r="O539" s="1008"/>
    </row>
    <row r="540" spans="1:15" s="995" customFormat="1" ht="15" customHeight="1">
      <c r="A540" s="1034"/>
      <c r="B540" s="1098" t="s">
        <v>350</v>
      </c>
      <c r="C540" s="1139" t="s">
        <v>363</v>
      </c>
      <c r="D540" s="2118"/>
      <c r="E540" s="2118"/>
      <c r="F540" s="2118"/>
      <c r="G540" s="2118"/>
      <c r="H540" s="2118"/>
      <c r="I540" s="2118"/>
      <c r="J540" s="2123"/>
      <c r="K540" s="2123"/>
      <c r="L540" s="2120"/>
      <c r="M540" s="1008"/>
      <c r="N540" s="1008"/>
      <c r="O540" s="1008"/>
    </row>
    <row r="541" spans="1:15" s="1091" customFormat="1" ht="27" customHeight="1">
      <c r="A541" s="1094"/>
      <c r="B541" s="1090" t="s">
        <v>471</v>
      </c>
      <c r="C541" s="1139" t="s">
        <v>362</v>
      </c>
      <c r="D541" s="2118"/>
      <c r="E541" s="2118"/>
      <c r="F541" s="2118"/>
      <c r="G541" s="2118"/>
      <c r="H541" s="2118"/>
      <c r="I541" s="2118"/>
      <c r="J541" s="2123"/>
      <c r="K541" s="2123"/>
      <c r="L541" s="2120"/>
      <c r="M541" s="1078"/>
      <c r="N541" s="1078"/>
      <c r="O541" s="1078"/>
    </row>
    <row r="542" spans="1:15" s="1091" customFormat="1" ht="27.75" customHeight="1">
      <c r="A542" s="1094"/>
      <c r="B542" s="1096" t="s">
        <v>469</v>
      </c>
      <c r="C542" s="1095" t="s">
        <v>361</v>
      </c>
      <c r="D542" s="2118"/>
      <c r="E542" s="2118"/>
      <c r="F542" s="2118"/>
      <c r="G542" s="2118"/>
      <c r="H542" s="2118"/>
      <c r="I542" s="2118"/>
      <c r="J542" s="2123"/>
      <c r="K542" s="2123"/>
      <c r="L542" s="2120"/>
      <c r="M542" s="1078"/>
      <c r="N542" s="1078"/>
      <c r="O542" s="1078"/>
    </row>
    <row r="543" spans="1:15" s="1091" customFormat="1" ht="18" customHeight="1">
      <c r="A543" s="1094"/>
      <c r="B543" s="1093" t="s">
        <v>468</v>
      </c>
      <c r="C543" s="1105" t="s">
        <v>498</v>
      </c>
      <c r="D543" s="2118"/>
      <c r="E543" s="2118"/>
      <c r="F543" s="2118"/>
      <c r="G543" s="2118"/>
      <c r="H543" s="2118"/>
      <c r="I543" s="2118"/>
      <c r="J543" s="2123"/>
      <c r="K543" s="2123"/>
      <c r="L543" s="2120"/>
      <c r="M543" s="1078"/>
      <c r="N543" s="1078"/>
      <c r="O543" s="1078"/>
    </row>
    <row r="544" spans="1:15" s="1091" customFormat="1" ht="18.75" customHeight="1">
      <c r="A544" s="1094"/>
      <c r="B544" s="1090" t="s">
        <v>466</v>
      </c>
      <c r="C544" s="1090"/>
      <c r="D544" s="2119"/>
      <c r="E544" s="2119"/>
      <c r="F544" s="2119"/>
      <c r="G544" s="2119"/>
      <c r="H544" s="2119"/>
      <c r="I544" s="2119"/>
      <c r="J544" s="2123"/>
      <c r="K544" s="2123"/>
      <c r="L544" s="2120"/>
      <c r="M544" s="1078"/>
      <c r="N544" s="1078"/>
      <c r="O544" s="1078"/>
    </row>
    <row r="545" spans="1:15" s="1091" customFormat="1" ht="18" customHeight="1">
      <c r="A545" s="1094"/>
      <c r="B545" s="1086" t="s">
        <v>462</v>
      </c>
      <c r="C545" s="1138" t="s">
        <v>497</v>
      </c>
      <c r="D545" s="1080">
        <v>0</v>
      </c>
      <c r="E545" s="1080">
        <v>3</v>
      </c>
      <c r="F545" s="1080"/>
      <c r="G545" s="1080"/>
      <c r="H545" s="1080"/>
      <c r="I545" s="1080">
        <v>4</v>
      </c>
      <c r="J545" s="1115">
        <v>2</v>
      </c>
      <c r="K545" s="1114">
        <v>3</v>
      </c>
      <c r="L545" s="1110"/>
      <c r="M545" s="1078"/>
      <c r="N545" s="1078"/>
      <c r="O545" s="1078"/>
    </row>
    <row r="546" spans="1:15" s="1091" customFormat="1" ht="14.25" customHeight="1">
      <c r="A546" s="1094"/>
      <c r="B546" s="1086" t="s">
        <v>462</v>
      </c>
      <c r="C546" s="1138" t="s">
        <v>496</v>
      </c>
      <c r="D546" s="1080">
        <v>0</v>
      </c>
      <c r="E546" s="1080">
        <v>34926</v>
      </c>
      <c r="F546" s="1080"/>
      <c r="G546" s="1080"/>
      <c r="H546" s="1080"/>
      <c r="I546" s="1080">
        <v>53590.8</v>
      </c>
      <c r="J546" s="1137">
        <v>69674</v>
      </c>
      <c r="K546" s="1114">
        <v>69829.600000000006</v>
      </c>
      <c r="L546" s="1110"/>
      <c r="M546" s="1078"/>
      <c r="N546" s="1078"/>
      <c r="O546" s="1078"/>
    </row>
    <row r="547" spans="1:15" s="1077" customFormat="1" ht="32.25" customHeight="1">
      <c r="A547" s="1083"/>
      <c r="B547" s="1086" t="s">
        <v>459</v>
      </c>
      <c r="C547" s="1136" t="s">
        <v>495</v>
      </c>
      <c r="D547" s="1080"/>
      <c r="E547" s="1080"/>
      <c r="F547" s="1080"/>
      <c r="G547" s="1080"/>
      <c r="H547" s="1080"/>
      <c r="I547" s="1080">
        <v>15.6</v>
      </c>
      <c r="J547" s="1080">
        <v>20.3</v>
      </c>
      <c r="K547" s="1080">
        <v>20.399999999999999</v>
      </c>
      <c r="L547" s="1079"/>
      <c r="M547" s="1078"/>
      <c r="N547" s="1078"/>
      <c r="O547" s="1078"/>
    </row>
    <row r="548" spans="1:15" s="1091" customFormat="1" ht="16.5" customHeight="1">
      <c r="A548" s="1094"/>
      <c r="B548" s="2121" t="s">
        <v>457</v>
      </c>
      <c r="C548" s="2122"/>
      <c r="D548" s="1135">
        <v>0</v>
      </c>
      <c r="E548" s="1135">
        <v>125733.3</v>
      </c>
      <c r="F548" s="1135">
        <f>I548*20%</f>
        <v>38585.420000000006</v>
      </c>
      <c r="G548" s="1135">
        <f>I548*45%</f>
        <v>86817.195000000007</v>
      </c>
      <c r="H548" s="1135">
        <f>I548*70%</f>
        <v>135048.97</v>
      </c>
      <c r="I548" s="1135">
        <v>192927.1</v>
      </c>
      <c r="J548" s="1135">
        <v>250826.4</v>
      </c>
      <c r="K548" s="1135">
        <v>251386.9</v>
      </c>
      <c r="L548" s="1110"/>
      <c r="M548" s="1078"/>
      <c r="N548" s="1078"/>
      <c r="O548" s="1078"/>
    </row>
    <row r="549" spans="1:15" s="1060" customFormat="1" ht="15" customHeight="1">
      <c r="B549" s="1134"/>
      <c r="C549" s="1075"/>
      <c r="D549" s="1133"/>
      <c r="E549" s="1133"/>
      <c r="F549" s="1131"/>
      <c r="G549" s="1132"/>
      <c r="H549" s="1132"/>
      <c r="I549" s="1131"/>
      <c r="J549" s="1063"/>
      <c r="K549" s="1062"/>
      <c r="L549" s="1062"/>
    </row>
    <row r="550" spans="1:15" s="995" customFormat="1" ht="16.5" customHeight="1">
      <c r="A550" s="1034"/>
      <c r="B550" s="1098" t="s">
        <v>494</v>
      </c>
      <c r="C550" s="1098" t="s">
        <v>493</v>
      </c>
      <c r="D550" s="1107"/>
      <c r="E550" s="1034"/>
      <c r="F550" s="1034"/>
      <c r="G550" s="1034"/>
      <c r="H550" s="1034"/>
      <c r="I550" s="1034"/>
      <c r="J550" s="1107"/>
      <c r="K550" s="1034"/>
      <c r="L550" s="1034"/>
      <c r="M550" s="1008"/>
      <c r="N550" s="1008"/>
      <c r="O550" s="1008"/>
    </row>
    <row r="551" spans="1:15" s="995" customFormat="1" ht="15.75" customHeight="1">
      <c r="A551" s="1034"/>
      <c r="B551" s="1130">
        <v>1186</v>
      </c>
      <c r="C551" s="1108" t="s">
        <v>352</v>
      </c>
      <c r="D551" s="1107"/>
      <c r="E551" s="1034"/>
      <c r="F551" s="1034"/>
      <c r="G551" s="1034"/>
      <c r="H551" s="1034"/>
      <c r="I551" s="1034"/>
      <c r="J551" s="1107"/>
      <c r="K551" s="1034"/>
      <c r="L551" s="1034"/>
      <c r="M551" s="1008"/>
      <c r="N551" s="1008"/>
      <c r="O551" s="1008"/>
    </row>
    <row r="552" spans="1:15" s="995" customFormat="1" ht="3.75" customHeight="1">
      <c r="A552" s="1034"/>
      <c r="B552" s="1109"/>
      <c r="C552" s="1034"/>
      <c r="D552" s="1107"/>
      <c r="E552" s="1034"/>
      <c r="F552" s="1034"/>
      <c r="G552" s="1034"/>
      <c r="H552" s="1034"/>
      <c r="I552" s="1034"/>
      <c r="J552" s="1107"/>
      <c r="K552" s="1034"/>
      <c r="L552" s="1034"/>
      <c r="M552" s="1008"/>
      <c r="N552" s="1008"/>
      <c r="O552" s="1008"/>
    </row>
    <row r="553" spans="1:15" s="1091" customFormat="1" ht="12.75" customHeight="1">
      <c r="A553" s="1094"/>
      <c r="B553" s="1129" t="s">
        <v>492</v>
      </c>
      <c r="C553" s="1094"/>
      <c r="D553" s="1128"/>
      <c r="E553" s="1094"/>
      <c r="F553" s="1094"/>
      <c r="G553" s="1094"/>
      <c r="H553" s="1094"/>
      <c r="I553" s="1094"/>
      <c r="J553" s="1128"/>
      <c r="K553" s="1094"/>
      <c r="L553" s="1094"/>
      <c r="M553" s="1078"/>
      <c r="N553" s="1078"/>
      <c r="O553" s="1078"/>
    </row>
    <row r="554" spans="1:15" s="995" customFormat="1" ht="4.5" customHeight="1">
      <c r="A554" s="1034"/>
      <c r="B554" s="1109"/>
      <c r="C554" s="1107"/>
      <c r="D554" s="1107"/>
      <c r="E554" s="1034"/>
      <c r="F554" s="1034"/>
      <c r="G554" s="1034"/>
      <c r="H554" s="1034"/>
      <c r="I554" s="1034"/>
      <c r="J554" s="1107"/>
      <c r="K554" s="1034"/>
      <c r="L554" s="1034"/>
      <c r="M554" s="1008"/>
      <c r="N554" s="1008"/>
      <c r="O554" s="1008"/>
    </row>
    <row r="555" spans="1:15" s="1101" customFormat="1" ht="14.25">
      <c r="A555" s="1103"/>
      <c r="B555" s="1106" t="s">
        <v>487</v>
      </c>
      <c r="C555" s="1095" t="s">
        <v>486</v>
      </c>
      <c r="D555" s="1107"/>
      <c r="E555" s="1034"/>
      <c r="F555" s="1103"/>
      <c r="G555" s="1103"/>
      <c r="H555" s="1103"/>
      <c r="I555" s="1103"/>
      <c r="J555" s="1104"/>
      <c r="K555" s="1103"/>
      <c r="L555" s="1103"/>
      <c r="M555" s="1102"/>
      <c r="N555" s="1102"/>
      <c r="O555" s="1102"/>
    </row>
    <row r="556" spans="1:15" s="1101" customFormat="1" ht="25.5">
      <c r="A556" s="1103"/>
      <c r="B556" s="1106" t="s">
        <v>485</v>
      </c>
      <c r="C556" s="1127">
        <v>104006</v>
      </c>
      <c r="D556" s="1104"/>
      <c r="E556" s="1103"/>
      <c r="F556" s="1103"/>
      <c r="G556" s="1103"/>
      <c r="H556" s="1103"/>
      <c r="I556" s="1103"/>
      <c r="J556" s="1104"/>
      <c r="K556" s="1103"/>
      <c r="L556" s="1103"/>
      <c r="M556" s="1102"/>
      <c r="N556" s="1102"/>
      <c r="O556" s="1102"/>
    </row>
    <row r="557" spans="1:15" s="1101" customFormat="1">
      <c r="A557" s="1103"/>
      <c r="B557" s="1106" t="s">
        <v>484</v>
      </c>
      <c r="C557" s="1126" t="s">
        <v>454</v>
      </c>
      <c r="D557" s="1104"/>
      <c r="E557" s="1103"/>
      <c r="F557" s="1103"/>
      <c r="G557" s="1103"/>
      <c r="H557" s="1103"/>
      <c r="I557" s="1103"/>
      <c r="J557" s="1104"/>
      <c r="K557" s="1103"/>
      <c r="L557" s="1103"/>
      <c r="M557" s="1102"/>
      <c r="N557" s="1102"/>
      <c r="O557" s="1102"/>
    </row>
    <row r="558" spans="1:15" s="995" customFormat="1" ht="12.75" customHeight="1">
      <c r="A558" s="1034"/>
      <c r="B558" s="1098" t="s">
        <v>482</v>
      </c>
      <c r="C558" s="1100">
        <v>1186</v>
      </c>
      <c r="D558" s="2111" t="s">
        <v>481</v>
      </c>
      <c r="E558" s="2112"/>
      <c r="F558" s="2112"/>
      <c r="G558" s="2112"/>
      <c r="H558" s="2112"/>
      <c r="I558" s="2112"/>
      <c r="J558" s="2112"/>
      <c r="K558" s="2112"/>
      <c r="L558" s="2113"/>
      <c r="M558" s="1008"/>
      <c r="N558" s="1008"/>
      <c r="O558" s="1008"/>
    </row>
    <row r="559" spans="1:15" s="995" customFormat="1" ht="12.75" customHeight="1">
      <c r="A559" s="1034"/>
      <c r="B559" s="1098" t="s">
        <v>480</v>
      </c>
      <c r="C559" s="1099">
        <v>11001</v>
      </c>
      <c r="D559" s="2117" t="s">
        <v>479</v>
      </c>
      <c r="E559" s="2117" t="s">
        <v>478</v>
      </c>
      <c r="F559" s="2117" t="s">
        <v>477</v>
      </c>
      <c r="G559" s="2117" t="s">
        <v>476</v>
      </c>
      <c r="H559" s="2117" t="s">
        <v>475</v>
      </c>
      <c r="I559" s="2117" t="s">
        <v>445</v>
      </c>
      <c r="J559" s="2123" t="s">
        <v>474</v>
      </c>
      <c r="K559" s="2123" t="s">
        <v>473</v>
      </c>
      <c r="L559" s="2120" t="s">
        <v>472</v>
      </c>
      <c r="M559" s="1008"/>
      <c r="N559" s="1008"/>
      <c r="O559" s="1008"/>
    </row>
    <row r="560" spans="1:15" s="995" customFormat="1" ht="18" customHeight="1">
      <c r="A560" s="1034"/>
      <c r="B560" s="1098" t="s">
        <v>350</v>
      </c>
      <c r="C560" s="1125" t="s">
        <v>352</v>
      </c>
      <c r="D560" s="2118"/>
      <c r="E560" s="2118"/>
      <c r="F560" s="2118"/>
      <c r="G560" s="2118"/>
      <c r="H560" s="2118"/>
      <c r="I560" s="2118"/>
      <c r="J560" s="2123"/>
      <c r="K560" s="2123"/>
      <c r="L560" s="2120"/>
      <c r="M560" s="1008"/>
      <c r="N560" s="1008"/>
      <c r="O560" s="1008"/>
    </row>
    <row r="561" spans="1:15" s="1091" customFormat="1" ht="27.75" customHeight="1">
      <c r="A561" s="1094"/>
      <c r="B561" s="1090" t="s">
        <v>471</v>
      </c>
      <c r="C561" s="1125" t="s">
        <v>491</v>
      </c>
      <c r="D561" s="2118"/>
      <c r="E561" s="2118"/>
      <c r="F561" s="2118"/>
      <c r="G561" s="2118"/>
      <c r="H561" s="2118"/>
      <c r="I561" s="2118"/>
      <c r="J561" s="2123"/>
      <c r="K561" s="2123"/>
      <c r="L561" s="2120"/>
      <c r="M561" s="1078"/>
      <c r="N561" s="1078"/>
      <c r="O561" s="1078"/>
    </row>
    <row r="562" spans="1:15" s="1091" customFormat="1" ht="13.5" customHeight="1">
      <c r="A562" s="1094"/>
      <c r="B562" s="1096" t="s">
        <v>469</v>
      </c>
      <c r="C562" s="1124" t="s">
        <v>345</v>
      </c>
      <c r="D562" s="2118"/>
      <c r="E562" s="2118"/>
      <c r="F562" s="2118"/>
      <c r="G562" s="2118"/>
      <c r="H562" s="2118"/>
      <c r="I562" s="2118"/>
      <c r="J562" s="2123"/>
      <c r="K562" s="2123"/>
      <c r="L562" s="2120"/>
      <c r="M562" s="1078"/>
      <c r="N562" s="1078"/>
      <c r="O562" s="1078"/>
    </row>
    <row r="563" spans="1:15" s="1091" customFormat="1" ht="15.75" customHeight="1">
      <c r="A563" s="1094"/>
      <c r="B563" s="1093" t="s">
        <v>468</v>
      </c>
      <c r="C563" s="1123" t="s">
        <v>467</v>
      </c>
      <c r="D563" s="2118"/>
      <c r="E563" s="2118"/>
      <c r="F563" s="2118"/>
      <c r="G563" s="2118"/>
      <c r="H563" s="2118"/>
      <c r="I563" s="2118"/>
      <c r="J563" s="2123"/>
      <c r="K563" s="2123"/>
      <c r="L563" s="2120"/>
      <c r="M563" s="1078"/>
      <c r="N563" s="1078"/>
      <c r="O563" s="1078"/>
    </row>
    <row r="564" spans="1:15" s="1091" customFormat="1" ht="12.75" customHeight="1">
      <c r="A564" s="1094"/>
      <c r="B564" s="1090" t="s">
        <v>466</v>
      </c>
      <c r="C564" s="1090"/>
      <c r="D564" s="2119"/>
      <c r="E564" s="2119"/>
      <c r="F564" s="2119"/>
      <c r="G564" s="2119"/>
      <c r="H564" s="2119"/>
      <c r="I564" s="2119"/>
      <c r="J564" s="2123"/>
      <c r="K564" s="2123"/>
      <c r="L564" s="2120"/>
      <c r="M564" s="1078"/>
      <c r="N564" s="1078"/>
      <c r="O564" s="1078"/>
    </row>
    <row r="565" spans="1:15" s="1091" customFormat="1" ht="15" customHeight="1">
      <c r="A565" s="1094"/>
      <c r="B565" s="1120" t="s">
        <v>462</v>
      </c>
      <c r="C565" s="1122" t="s">
        <v>490</v>
      </c>
      <c r="D565" s="1080">
        <v>6670</v>
      </c>
      <c r="E565" s="1116">
        <v>6690</v>
      </c>
      <c r="F565" s="1121">
        <v>6695</v>
      </c>
      <c r="G565" s="1121">
        <v>6700</v>
      </c>
      <c r="H565" s="1121">
        <v>6705</v>
      </c>
      <c r="I565" s="1121">
        <v>6710</v>
      </c>
      <c r="J565" s="1118">
        <v>6730</v>
      </c>
      <c r="K565" s="1118">
        <v>6750</v>
      </c>
      <c r="L565" s="1110"/>
      <c r="M565" s="1078"/>
      <c r="N565" s="1078"/>
      <c r="O565" s="1078"/>
    </row>
    <row r="566" spans="1:15" s="1091" customFormat="1" ht="13.5" customHeight="1">
      <c r="A566" s="1094"/>
      <c r="B566" s="1120" t="s">
        <v>462</v>
      </c>
      <c r="C566" s="1119" t="s">
        <v>489</v>
      </c>
      <c r="D566" s="1118">
        <v>23701</v>
      </c>
      <c r="E566" s="1118">
        <v>20000</v>
      </c>
      <c r="F566" s="1118">
        <v>2000</v>
      </c>
      <c r="G566" s="1118">
        <v>12000</v>
      </c>
      <c r="H566" s="1118">
        <v>13000</v>
      </c>
      <c r="I566" s="1118">
        <v>20500</v>
      </c>
      <c r="J566" s="1118">
        <v>20700</v>
      </c>
      <c r="K566" s="1118">
        <v>21000</v>
      </c>
      <c r="L566" s="1110"/>
      <c r="M566" s="1078"/>
      <c r="N566" s="1078"/>
      <c r="O566" s="1078"/>
    </row>
    <row r="567" spans="1:15" s="1091" customFormat="1" ht="25.5" customHeight="1">
      <c r="A567" s="1094"/>
      <c r="B567" s="1085" t="s">
        <v>459</v>
      </c>
      <c r="C567" s="1117" t="s">
        <v>488</v>
      </c>
      <c r="D567" s="1080">
        <v>80</v>
      </c>
      <c r="E567" s="1116">
        <v>82</v>
      </c>
      <c r="F567" s="1116">
        <v>0</v>
      </c>
      <c r="G567" s="1116">
        <v>0</v>
      </c>
      <c r="H567" s="1116">
        <v>0</v>
      </c>
      <c r="I567" s="1116">
        <v>82</v>
      </c>
      <c r="J567" s="1115">
        <v>82</v>
      </c>
      <c r="K567" s="1114">
        <v>82</v>
      </c>
      <c r="L567" s="1113"/>
      <c r="M567" s="1078"/>
      <c r="N567" s="1078"/>
      <c r="O567" s="1078"/>
    </row>
    <row r="568" spans="1:15" s="1091" customFormat="1" ht="16.5" customHeight="1">
      <c r="A568" s="1094"/>
      <c r="B568" s="1112" t="s">
        <v>457</v>
      </c>
      <c r="C568" s="1111"/>
      <c r="D568" s="1082">
        <v>37895.9</v>
      </c>
      <c r="E568" s="1080">
        <v>50604.9</v>
      </c>
      <c r="F568" s="1081">
        <f>I568*20%</f>
        <v>8510.02</v>
      </c>
      <c r="G568" s="1081">
        <f>I568*45%</f>
        <v>19147.544999999998</v>
      </c>
      <c r="H568" s="1081">
        <f>I568*70%</f>
        <v>29785.069999999996</v>
      </c>
      <c r="I568" s="1080">
        <v>42550.1</v>
      </c>
      <c r="J568" s="1080">
        <v>42550.1</v>
      </c>
      <c r="K568" s="1080">
        <v>42550.1</v>
      </c>
      <c r="L568" s="1110"/>
      <c r="M568" s="1078"/>
      <c r="N568" s="1078"/>
      <c r="O568" s="1078"/>
    </row>
    <row r="569" spans="1:15" s="995" customFormat="1" ht="33" customHeight="1">
      <c r="A569" s="1034"/>
      <c r="B569" s="1109"/>
      <c r="C569" s="1034"/>
      <c r="D569" s="1107"/>
      <c r="E569" s="1034"/>
      <c r="F569" s="1034"/>
      <c r="G569" s="1034"/>
      <c r="H569" s="1034"/>
      <c r="I569" s="1034"/>
      <c r="J569" s="1107"/>
      <c r="K569" s="1034"/>
      <c r="L569" s="1034"/>
      <c r="M569" s="1008"/>
      <c r="N569" s="1008"/>
      <c r="O569" s="1008"/>
    </row>
    <row r="570" spans="1:15" s="1101" customFormat="1" ht="14.25">
      <c r="A570" s="1103"/>
      <c r="B570" s="1106" t="s">
        <v>487</v>
      </c>
      <c r="C570" s="1108" t="s">
        <v>486</v>
      </c>
      <c r="D570" s="1107"/>
      <c r="E570" s="1034"/>
      <c r="F570" s="1103"/>
      <c r="G570" s="1103"/>
      <c r="H570" s="1103"/>
      <c r="I570" s="1103"/>
      <c r="J570" s="1104"/>
      <c r="K570" s="1103"/>
      <c r="L570" s="1103"/>
      <c r="M570" s="1102"/>
      <c r="N570" s="1102"/>
      <c r="O570" s="1102"/>
    </row>
    <row r="571" spans="1:15" s="1101" customFormat="1" ht="25.5">
      <c r="A571" s="1103"/>
      <c r="B571" s="1106" t="s">
        <v>485</v>
      </c>
      <c r="C571" s="1099">
        <v>104006</v>
      </c>
      <c r="D571" s="1104"/>
      <c r="E571" s="1103"/>
      <c r="F571" s="1103"/>
      <c r="G571" s="1103"/>
      <c r="H571" s="1103"/>
      <c r="I571" s="1103"/>
      <c r="J571" s="1104"/>
      <c r="K571" s="1103"/>
      <c r="L571" s="1103"/>
      <c r="M571" s="1102"/>
      <c r="N571" s="1102"/>
      <c r="O571" s="1102"/>
    </row>
    <row r="572" spans="1:15" s="1101" customFormat="1" ht="25.5">
      <c r="A572" s="1103"/>
      <c r="B572" s="1106" t="s">
        <v>484</v>
      </c>
      <c r="C572" s="1105" t="s">
        <v>483</v>
      </c>
      <c r="D572" s="1104"/>
      <c r="E572" s="1103"/>
      <c r="F572" s="1103"/>
      <c r="G572" s="1103"/>
      <c r="H572" s="1103"/>
      <c r="I572" s="1103"/>
      <c r="J572" s="1104"/>
      <c r="K572" s="1103"/>
      <c r="L572" s="1103"/>
      <c r="M572" s="1102"/>
      <c r="N572" s="1102"/>
      <c r="O572" s="1102"/>
    </row>
    <row r="573" spans="1:15" s="995" customFormat="1" ht="12.75" customHeight="1">
      <c r="A573" s="1034"/>
      <c r="B573" s="1098" t="s">
        <v>482</v>
      </c>
      <c r="C573" s="1100">
        <v>1186</v>
      </c>
      <c r="D573" s="2111" t="s">
        <v>481</v>
      </c>
      <c r="E573" s="2112"/>
      <c r="F573" s="2112"/>
      <c r="G573" s="2112"/>
      <c r="H573" s="2112"/>
      <c r="I573" s="2112"/>
      <c r="J573" s="2112"/>
      <c r="K573" s="2112"/>
      <c r="L573" s="2113"/>
      <c r="M573" s="1008"/>
      <c r="N573" s="1008"/>
      <c r="O573" s="1008"/>
    </row>
    <row r="574" spans="1:15" s="995" customFormat="1" ht="13.5" customHeight="1">
      <c r="A574" s="1034"/>
      <c r="B574" s="1098" t="s">
        <v>480</v>
      </c>
      <c r="C574" s="1099">
        <v>11002</v>
      </c>
      <c r="D574" s="2117" t="s">
        <v>479</v>
      </c>
      <c r="E574" s="2117" t="s">
        <v>478</v>
      </c>
      <c r="F574" s="2117" t="s">
        <v>477</v>
      </c>
      <c r="G574" s="2117" t="s">
        <v>476</v>
      </c>
      <c r="H574" s="2117" t="s">
        <v>475</v>
      </c>
      <c r="I574" s="2117" t="s">
        <v>445</v>
      </c>
      <c r="J574" s="2123" t="s">
        <v>474</v>
      </c>
      <c r="K574" s="2123" t="s">
        <v>473</v>
      </c>
      <c r="L574" s="2120" t="s">
        <v>472</v>
      </c>
      <c r="M574" s="1008"/>
      <c r="N574" s="1008"/>
      <c r="O574" s="1008"/>
    </row>
    <row r="575" spans="1:15" s="995" customFormat="1" ht="15" customHeight="1">
      <c r="A575" s="1034"/>
      <c r="B575" s="1098" t="s">
        <v>350</v>
      </c>
      <c r="C575" s="1097" t="s">
        <v>349</v>
      </c>
      <c r="D575" s="2118"/>
      <c r="E575" s="2118"/>
      <c r="F575" s="2118"/>
      <c r="G575" s="2118"/>
      <c r="H575" s="2118"/>
      <c r="I575" s="2118"/>
      <c r="J575" s="2123"/>
      <c r="K575" s="2123"/>
      <c r="L575" s="2120"/>
      <c r="M575" s="1008"/>
      <c r="N575" s="1008"/>
      <c r="O575" s="1008"/>
    </row>
    <row r="576" spans="1:15" s="1091" customFormat="1" ht="42.75" customHeight="1">
      <c r="A576" s="1094"/>
      <c r="B576" s="1090" t="s">
        <v>471</v>
      </c>
      <c r="C576" s="1097" t="s">
        <v>470</v>
      </c>
      <c r="D576" s="2118"/>
      <c r="E576" s="2118"/>
      <c r="F576" s="2118"/>
      <c r="G576" s="2118"/>
      <c r="H576" s="2118"/>
      <c r="I576" s="2118"/>
      <c r="J576" s="2123"/>
      <c r="K576" s="2123"/>
      <c r="L576" s="2120"/>
      <c r="M576" s="1078"/>
      <c r="N576" s="1078"/>
      <c r="O576" s="1078"/>
    </row>
    <row r="577" spans="1:15" s="1091" customFormat="1" ht="14.25" customHeight="1">
      <c r="A577" s="1094"/>
      <c r="B577" s="1096" t="s">
        <v>469</v>
      </c>
      <c r="C577" s="1095" t="s">
        <v>345</v>
      </c>
      <c r="D577" s="2118"/>
      <c r="E577" s="2118"/>
      <c r="F577" s="2118"/>
      <c r="G577" s="2118"/>
      <c r="H577" s="2118"/>
      <c r="I577" s="2118"/>
      <c r="J577" s="2123"/>
      <c r="K577" s="2123"/>
      <c r="L577" s="2120"/>
      <c r="M577" s="1078"/>
      <c r="N577" s="1078"/>
      <c r="O577" s="1078"/>
    </row>
    <row r="578" spans="1:15" s="1091" customFormat="1" ht="13.5" customHeight="1">
      <c r="A578" s="1094"/>
      <c r="B578" s="1093" t="s">
        <v>468</v>
      </c>
      <c r="C578" s="1092" t="s">
        <v>467</v>
      </c>
      <c r="D578" s="2118"/>
      <c r="E578" s="2118"/>
      <c r="F578" s="2118"/>
      <c r="G578" s="2118"/>
      <c r="H578" s="2118"/>
      <c r="I578" s="2118"/>
      <c r="J578" s="2123"/>
      <c r="K578" s="2123"/>
      <c r="L578" s="2120"/>
      <c r="M578" s="1078"/>
      <c r="N578" s="1078"/>
      <c r="O578" s="1078"/>
    </row>
    <row r="579" spans="1:15" s="1077" customFormat="1" ht="15" customHeight="1">
      <c r="A579" s="1083"/>
      <c r="B579" s="1090" t="s">
        <v>466</v>
      </c>
      <c r="C579" s="1090"/>
      <c r="D579" s="2119"/>
      <c r="E579" s="2119"/>
      <c r="F579" s="2119"/>
      <c r="G579" s="2119"/>
      <c r="H579" s="2119"/>
      <c r="I579" s="2119"/>
      <c r="J579" s="2123"/>
      <c r="K579" s="2123"/>
      <c r="L579" s="2120"/>
      <c r="M579" s="1078"/>
      <c r="N579" s="1078"/>
      <c r="O579" s="1078"/>
    </row>
    <row r="580" spans="1:15" s="1077" customFormat="1" ht="13.5" customHeight="1">
      <c r="A580" s="1083"/>
      <c r="B580" s="1089" t="s">
        <v>462</v>
      </c>
      <c r="C580" s="1088" t="s">
        <v>465</v>
      </c>
      <c r="D580" s="1080">
        <v>180</v>
      </c>
      <c r="E580" s="1087">
        <v>143</v>
      </c>
      <c r="F580" s="1087">
        <v>181</v>
      </c>
      <c r="G580" s="1087">
        <v>181</v>
      </c>
      <c r="H580" s="1087">
        <v>181</v>
      </c>
      <c r="I580" s="1087">
        <v>181</v>
      </c>
      <c r="J580" s="1087">
        <v>181</v>
      </c>
      <c r="K580" s="1087">
        <v>181</v>
      </c>
      <c r="L580" s="1079"/>
      <c r="M580" s="1078"/>
      <c r="N580" s="1078"/>
      <c r="O580" s="1078"/>
    </row>
    <row r="581" spans="1:15" s="1077" customFormat="1" ht="15" customHeight="1">
      <c r="A581" s="1083"/>
      <c r="B581" s="1086" t="s">
        <v>462</v>
      </c>
      <c r="C581" s="1084" t="s">
        <v>464</v>
      </c>
      <c r="D581" s="1080">
        <v>910</v>
      </c>
      <c r="E581" s="1080">
        <v>790</v>
      </c>
      <c r="F581" s="1080">
        <v>909</v>
      </c>
      <c r="G581" s="1080">
        <v>909</v>
      </c>
      <c r="H581" s="1080">
        <v>909</v>
      </c>
      <c r="I581" s="1080">
        <v>909</v>
      </c>
      <c r="J581" s="1080">
        <v>909</v>
      </c>
      <c r="K581" s="1080">
        <v>909</v>
      </c>
      <c r="L581" s="1079"/>
      <c r="M581" s="1078"/>
      <c r="N581" s="1078"/>
      <c r="O581" s="1078"/>
    </row>
    <row r="582" spans="1:15" s="1077" customFormat="1" ht="12.75" customHeight="1">
      <c r="A582" s="1083"/>
      <c r="B582" s="1086" t="s">
        <v>462</v>
      </c>
      <c r="C582" s="1084" t="s">
        <v>463</v>
      </c>
      <c r="D582" s="1080">
        <v>288600</v>
      </c>
      <c r="E582" s="1080">
        <v>198000</v>
      </c>
      <c r="F582" s="1080">
        <v>8000</v>
      </c>
      <c r="G582" s="1080">
        <v>120000</v>
      </c>
      <c r="H582" s="1080">
        <v>216000</v>
      </c>
      <c r="I582" s="1080">
        <v>240000</v>
      </c>
      <c r="J582" s="1080">
        <v>240000</v>
      </c>
      <c r="K582" s="1080">
        <v>240000</v>
      </c>
      <c r="L582" s="1079"/>
      <c r="M582" s="1078"/>
      <c r="N582" s="1078"/>
      <c r="O582" s="1078"/>
    </row>
    <row r="583" spans="1:15" s="1077" customFormat="1" ht="26.25" customHeight="1">
      <c r="A583" s="1083"/>
      <c r="B583" s="1086" t="s">
        <v>462</v>
      </c>
      <c r="C583" s="1084" t="s">
        <v>461</v>
      </c>
      <c r="D583" s="1080">
        <v>25</v>
      </c>
      <c r="E583" s="1080">
        <v>25</v>
      </c>
      <c r="F583" s="1080">
        <v>25</v>
      </c>
      <c r="G583" s="1080">
        <v>25</v>
      </c>
      <c r="H583" s="1080">
        <v>25</v>
      </c>
      <c r="I583" s="1080">
        <v>25</v>
      </c>
      <c r="J583" s="1080">
        <v>25</v>
      </c>
      <c r="K583" s="1080">
        <v>25</v>
      </c>
      <c r="L583" s="1079"/>
      <c r="M583" s="1078"/>
      <c r="N583" s="1078"/>
      <c r="O583" s="1078"/>
    </row>
    <row r="584" spans="1:15" s="1077" customFormat="1" ht="25.5" customHeight="1">
      <c r="A584" s="1083"/>
      <c r="B584" s="1085" t="s">
        <v>459</v>
      </c>
      <c r="C584" s="1084" t="s">
        <v>460</v>
      </c>
      <c r="D584" s="1080">
        <v>0</v>
      </c>
      <c r="E584" s="1080">
        <v>95</v>
      </c>
      <c r="F584" s="1080">
        <v>95</v>
      </c>
      <c r="G584" s="1080">
        <v>95</v>
      </c>
      <c r="H584" s="1080">
        <v>95</v>
      </c>
      <c r="I584" s="1080">
        <v>95</v>
      </c>
      <c r="J584" s="1080">
        <v>95</v>
      </c>
      <c r="K584" s="1080">
        <v>95</v>
      </c>
      <c r="L584" s="1079"/>
      <c r="M584" s="1078"/>
      <c r="N584" s="1078"/>
      <c r="O584" s="1078"/>
    </row>
    <row r="585" spans="1:15" s="1077" customFormat="1" ht="28.5" customHeight="1">
      <c r="A585" s="1083"/>
      <c r="B585" s="1085" t="s">
        <v>459</v>
      </c>
      <c r="C585" s="1084" t="s">
        <v>458</v>
      </c>
      <c r="D585" s="1080">
        <v>79</v>
      </c>
      <c r="E585" s="1080">
        <v>80</v>
      </c>
      <c r="F585" s="1080">
        <v>80</v>
      </c>
      <c r="G585" s="1080">
        <v>80</v>
      </c>
      <c r="H585" s="1080">
        <v>80</v>
      </c>
      <c r="I585" s="1080">
        <v>80</v>
      </c>
      <c r="J585" s="1080">
        <v>80</v>
      </c>
      <c r="K585" s="1080">
        <v>80</v>
      </c>
      <c r="L585" s="1079"/>
      <c r="M585" s="1078"/>
      <c r="N585" s="1078"/>
      <c r="O585" s="1078"/>
    </row>
    <row r="586" spans="1:15" s="1077" customFormat="1" ht="12.75" customHeight="1">
      <c r="A586" s="1083"/>
      <c r="B586" s="2137" t="s">
        <v>457</v>
      </c>
      <c r="C586" s="2137"/>
      <c r="D586" s="1082">
        <v>302409.3</v>
      </c>
      <c r="E586" s="1080">
        <v>302772.2</v>
      </c>
      <c r="F586" s="1081">
        <f>I586*20%</f>
        <v>60554.44</v>
      </c>
      <c r="G586" s="1081">
        <f>I586*45%</f>
        <v>136247.49000000002</v>
      </c>
      <c r="H586" s="1081">
        <f>I586*70%</f>
        <v>211940.54</v>
      </c>
      <c r="I586" s="1080">
        <v>302772.2</v>
      </c>
      <c r="J586" s="1080">
        <v>302772.2</v>
      </c>
      <c r="K586" s="1080">
        <v>302772.2</v>
      </c>
      <c r="L586" s="1079"/>
      <c r="M586" s="1078"/>
      <c r="N586" s="1078"/>
      <c r="O586" s="1078"/>
    </row>
    <row r="587" spans="1:15" s="1060" customFormat="1" ht="27" customHeight="1">
      <c r="B587" s="1076"/>
      <c r="C587" s="1075"/>
      <c r="D587" s="1073"/>
      <c r="E587" s="1073"/>
      <c r="F587" s="1073"/>
      <c r="G587" s="1073"/>
      <c r="H587" s="1074"/>
      <c r="I587" s="1073"/>
    </row>
    <row r="588" spans="1:15">
      <c r="A588" s="1072"/>
      <c r="B588" s="1071"/>
      <c r="C588" s="1070"/>
      <c r="D588" s="1068"/>
      <c r="E588" s="1068"/>
      <c r="F588" s="1068"/>
      <c r="G588" s="1068"/>
      <c r="H588" s="1069"/>
      <c r="I588" s="1068"/>
    </row>
    <row r="589" spans="1:15" ht="23.25" customHeight="1">
      <c r="B589" s="2109"/>
      <c r="C589" s="2109"/>
      <c r="D589" s="2109"/>
      <c r="E589" s="2109"/>
      <c r="F589" s="2109"/>
      <c r="G589" s="2109"/>
      <c r="H589" s="2109"/>
      <c r="I589" s="2109"/>
    </row>
    <row r="590" spans="1:15">
      <c r="B590" s="2109"/>
      <c r="C590" s="2109"/>
      <c r="D590" s="2109"/>
      <c r="E590" s="2109"/>
      <c r="F590" s="2109"/>
      <c r="G590" s="2109"/>
      <c r="H590" s="2109"/>
      <c r="I590" s="2109"/>
    </row>
    <row r="591" spans="1:15" s="1061" customFormat="1" ht="21" customHeight="1">
      <c r="C591" s="1062"/>
      <c r="D591" s="1067">
        <f t="shared" ref="D591:K591" si="2">D586+D568+D548+D533+D519+D505+D491+D476+D461+D447+D432+D414+D395+D379+D366+D346+D325+D305+D287+D268+D249+D228+D214+D199+D176+D156+D141+D128+D112+D99+D82+D52+D25</f>
        <v>5521700.6800000006</v>
      </c>
      <c r="E591" s="1067">
        <f t="shared" si="2"/>
        <v>6984079.5</v>
      </c>
      <c r="F591" s="1067">
        <f t="shared" si="2"/>
        <v>2524727.0703014005</v>
      </c>
      <c r="G591" s="1067">
        <f t="shared" si="2"/>
        <v>5682153.9881781517</v>
      </c>
      <c r="H591" s="1067">
        <f t="shared" si="2"/>
        <v>8841098.986054901</v>
      </c>
      <c r="I591" s="1067">
        <f t="shared" si="2"/>
        <v>12631225.751507001</v>
      </c>
      <c r="J591" s="1067">
        <f t="shared" si="2"/>
        <v>10156327.4514631</v>
      </c>
      <c r="K591" s="1067">
        <f t="shared" si="2"/>
        <v>9913882.0512688011</v>
      </c>
      <c r="M591" s="1062"/>
      <c r="N591" s="1062"/>
      <c r="O591" s="1062"/>
    </row>
    <row r="592" spans="1:15" s="1061" customFormat="1">
      <c r="C592" s="1062"/>
      <c r="D592" s="1065"/>
      <c r="E592" s="1065"/>
      <c r="F592" s="1065"/>
      <c r="G592" s="1065"/>
      <c r="H592" s="1065"/>
      <c r="I592" s="1065"/>
      <c r="J592" s="1062"/>
      <c r="M592" s="1062"/>
      <c r="N592" s="1062"/>
      <c r="O592" s="1062"/>
    </row>
    <row r="593" spans="3:15" s="1061" customFormat="1">
      <c r="C593" s="1062"/>
      <c r="D593" s="1062"/>
      <c r="E593" s="1062"/>
      <c r="F593" s="1062"/>
      <c r="G593" s="1062"/>
      <c r="H593" s="1062"/>
      <c r="I593" s="1063"/>
      <c r="J593" s="1062"/>
      <c r="M593" s="1062"/>
      <c r="N593" s="1062"/>
      <c r="O593" s="1062"/>
    </row>
    <row r="594" spans="3:15" s="1061" customFormat="1">
      <c r="C594" s="1062"/>
      <c r="D594" s="1062"/>
      <c r="E594" s="1062"/>
      <c r="F594" s="1062"/>
      <c r="G594" s="1062"/>
      <c r="H594" s="1062"/>
      <c r="I594" s="1066"/>
      <c r="J594" s="1062"/>
      <c r="M594" s="1062"/>
      <c r="N594" s="1062"/>
      <c r="O594" s="1062"/>
    </row>
    <row r="595" spans="3:15" s="1061" customFormat="1">
      <c r="C595" s="1062"/>
      <c r="D595" s="1065"/>
      <c r="E595" s="1062"/>
      <c r="F595" s="1062"/>
      <c r="G595" s="1062"/>
      <c r="H595" s="1064"/>
      <c r="I595" s="1063"/>
      <c r="J595" s="1062"/>
      <c r="M595" s="1062"/>
      <c r="N595" s="1062"/>
      <c r="O595" s="1062"/>
    </row>
    <row r="596" spans="3:15" s="1061" customFormat="1">
      <c r="C596" s="1062"/>
      <c r="D596" s="1062"/>
      <c r="E596" s="1062"/>
      <c r="F596" s="1062"/>
      <c r="G596" s="1062"/>
      <c r="H596" s="1062"/>
      <c r="I596" s="1063"/>
      <c r="J596" s="1062"/>
      <c r="M596" s="1062"/>
      <c r="N596" s="1062"/>
      <c r="O596" s="1062"/>
    </row>
    <row r="597" spans="3:15" s="1061" customFormat="1">
      <c r="C597" s="1062"/>
      <c r="D597" s="1062"/>
      <c r="E597" s="1062"/>
      <c r="F597" s="1062"/>
      <c r="G597" s="1062"/>
      <c r="H597" s="1062"/>
      <c r="I597" s="1063"/>
      <c r="J597" s="1062"/>
      <c r="M597" s="1062"/>
      <c r="N597" s="1062"/>
      <c r="O597" s="1062"/>
    </row>
    <row r="598" spans="3:15" s="1061" customFormat="1">
      <c r="C598" s="1062"/>
      <c r="D598" s="1062"/>
      <c r="E598" s="1062"/>
      <c r="F598" s="1062"/>
      <c r="G598" s="1062"/>
      <c r="H598" s="2110"/>
      <c r="I598" s="1063"/>
      <c r="J598" s="1062"/>
      <c r="M598" s="1062"/>
      <c r="N598" s="1062"/>
      <c r="O598" s="1062"/>
    </row>
    <row r="599" spans="3:15" s="1061" customFormat="1">
      <c r="C599" s="1062"/>
      <c r="D599" s="1062"/>
      <c r="E599" s="1062"/>
      <c r="F599" s="1062"/>
      <c r="G599" s="1062"/>
      <c r="H599" s="2110"/>
      <c r="I599" s="1063"/>
      <c r="J599" s="1062"/>
      <c r="M599" s="1062"/>
      <c r="N599" s="1062"/>
      <c r="O599" s="1062"/>
    </row>
    <row r="600" spans="3:15" s="1061" customFormat="1">
      <c r="C600" s="1062"/>
      <c r="D600" s="1062"/>
      <c r="E600" s="1062"/>
      <c r="F600" s="1062"/>
      <c r="G600" s="1062"/>
      <c r="H600" s="2110"/>
      <c r="I600" s="1063"/>
      <c r="J600" s="1062"/>
      <c r="M600" s="1062"/>
      <c r="N600" s="1062"/>
      <c r="O600" s="1062"/>
    </row>
    <row r="601" spans="3:15" s="1061" customFormat="1">
      <c r="C601" s="1062"/>
      <c r="D601" s="1062"/>
      <c r="E601" s="1062"/>
      <c r="F601" s="1062"/>
      <c r="G601" s="1062"/>
      <c r="H601" s="2110"/>
      <c r="I601" s="1063"/>
      <c r="J601" s="1062"/>
      <c r="M601" s="1062"/>
      <c r="N601" s="1062"/>
      <c r="O601" s="1062"/>
    </row>
    <row r="602" spans="3:15" s="1061" customFormat="1">
      <c r="C602" s="1062"/>
      <c r="D602" s="1062"/>
      <c r="E602" s="1062"/>
      <c r="F602" s="1062"/>
      <c r="G602" s="1062"/>
      <c r="H602" s="2110"/>
      <c r="I602" s="1063"/>
      <c r="J602" s="1062"/>
      <c r="M602" s="1062"/>
      <c r="N602" s="1062"/>
      <c r="O602" s="1062"/>
    </row>
    <row r="603" spans="3:15" s="1061" customFormat="1">
      <c r="C603" s="1062"/>
      <c r="D603" s="1062"/>
      <c r="E603" s="1062"/>
      <c r="F603" s="1062"/>
      <c r="G603" s="1062"/>
      <c r="H603" s="2110"/>
      <c r="I603" s="1063"/>
      <c r="J603" s="1062"/>
      <c r="M603" s="1062"/>
      <c r="N603" s="1062"/>
      <c r="O603" s="1062"/>
    </row>
    <row r="604" spans="3:15" s="1061" customFormat="1">
      <c r="C604" s="1062"/>
      <c r="D604" s="1062"/>
      <c r="E604" s="1062"/>
      <c r="F604" s="1062"/>
      <c r="G604" s="1062"/>
      <c r="H604" s="1062"/>
      <c r="I604" s="1063"/>
      <c r="J604" s="1062"/>
      <c r="M604" s="1062"/>
      <c r="N604" s="1062"/>
      <c r="O604" s="1062"/>
    </row>
    <row r="605" spans="3:15" s="1061" customFormat="1">
      <c r="C605" s="1062"/>
      <c r="D605" s="1062"/>
      <c r="E605" s="1062"/>
      <c r="F605" s="1062"/>
      <c r="G605" s="1062"/>
      <c r="H605" s="1062"/>
      <c r="I605" s="1063"/>
      <c r="J605" s="1062"/>
      <c r="M605" s="1062"/>
      <c r="N605" s="1062"/>
      <c r="O605" s="1062"/>
    </row>
    <row r="606" spans="3:15" s="1061" customFormat="1">
      <c r="C606" s="1062"/>
      <c r="D606" s="1062"/>
      <c r="E606" s="1062"/>
      <c r="F606" s="1062"/>
      <c r="G606" s="1062"/>
      <c r="H606" s="1062"/>
      <c r="I606" s="1063"/>
      <c r="J606" s="1062"/>
      <c r="M606" s="1062"/>
      <c r="N606" s="1062"/>
      <c r="O606" s="1062"/>
    </row>
    <row r="607" spans="3:15" s="1061" customFormat="1">
      <c r="C607" s="1062"/>
      <c r="D607" s="1062"/>
      <c r="E607" s="1062"/>
      <c r="F607" s="1062"/>
      <c r="G607" s="1062"/>
      <c r="H607" s="1062"/>
      <c r="I607" s="1063"/>
      <c r="J607" s="1062"/>
      <c r="M607" s="1062"/>
      <c r="N607" s="1062"/>
      <c r="O607" s="1062"/>
    </row>
    <row r="608" spans="3:15" s="1061" customFormat="1">
      <c r="C608" s="1062"/>
      <c r="D608" s="1062"/>
      <c r="E608" s="1062"/>
      <c r="F608" s="1062"/>
      <c r="G608" s="1062"/>
      <c r="H608" s="1062"/>
      <c r="I608" s="1063"/>
      <c r="J608" s="1062"/>
      <c r="M608" s="1062"/>
      <c r="N608" s="1062"/>
      <c r="O608" s="1062"/>
    </row>
    <row r="609" spans="3:15" s="1061" customFormat="1">
      <c r="C609" s="1062"/>
      <c r="D609" s="1062"/>
      <c r="E609" s="1062"/>
      <c r="F609" s="1062"/>
      <c r="G609" s="1062"/>
      <c r="H609" s="1062"/>
      <c r="I609" s="1063"/>
      <c r="J609" s="1062"/>
      <c r="M609" s="1062"/>
      <c r="N609" s="1062"/>
      <c r="O609" s="1062"/>
    </row>
    <row r="610" spans="3:15" s="1061" customFormat="1">
      <c r="C610" s="1062"/>
      <c r="D610" s="1062"/>
      <c r="E610" s="1062"/>
      <c r="F610" s="1062"/>
      <c r="G610" s="1062"/>
      <c r="H610" s="1062"/>
      <c r="I610" s="1063"/>
      <c r="J610" s="1062"/>
      <c r="M610" s="1062"/>
      <c r="N610" s="1062"/>
      <c r="O610" s="1062"/>
    </row>
    <row r="611" spans="3:15" s="1061" customFormat="1">
      <c r="C611" s="1062"/>
      <c r="D611" s="1062"/>
      <c r="E611" s="1062"/>
      <c r="F611" s="1062"/>
      <c r="G611" s="1062"/>
      <c r="H611" s="1062"/>
      <c r="I611" s="1063"/>
      <c r="J611" s="1062"/>
      <c r="M611" s="1062"/>
      <c r="N611" s="1062"/>
      <c r="O611" s="1062"/>
    </row>
    <row r="612" spans="3:15" s="1061" customFormat="1">
      <c r="C612" s="1062"/>
      <c r="D612" s="1062"/>
      <c r="E612" s="1062"/>
      <c r="F612" s="1062"/>
      <c r="G612" s="1062"/>
      <c r="H612" s="1062"/>
      <c r="I612" s="1063"/>
      <c r="J612" s="1062"/>
      <c r="M612" s="1062"/>
      <c r="N612" s="1062"/>
      <c r="O612" s="1062"/>
    </row>
    <row r="613" spans="3:15" s="1061" customFormat="1">
      <c r="C613" s="1062"/>
      <c r="D613" s="1062"/>
      <c r="E613" s="1062"/>
      <c r="F613" s="1062"/>
      <c r="G613" s="1062"/>
      <c r="H613" s="1062"/>
      <c r="I613" s="1063"/>
      <c r="J613" s="1062"/>
      <c r="M613" s="1062"/>
      <c r="N613" s="1062"/>
      <c r="O613" s="1062"/>
    </row>
    <row r="614" spans="3:15" s="1061" customFormat="1">
      <c r="C614" s="1062"/>
      <c r="D614" s="1062"/>
      <c r="E614" s="1062"/>
      <c r="F614" s="1062"/>
      <c r="G614" s="1062"/>
      <c r="H614" s="1062"/>
      <c r="I614" s="1063"/>
      <c r="J614" s="1062"/>
      <c r="M614" s="1062"/>
      <c r="N614" s="1062"/>
      <c r="O614" s="1062"/>
    </row>
    <row r="615" spans="3:15" s="1061" customFormat="1">
      <c r="C615" s="1062"/>
      <c r="D615" s="1062"/>
      <c r="E615" s="1062"/>
      <c r="F615" s="1062"/>
      <c r="G615" s="1062"/>
      <c r="H615" s="1062"/>
      <c r="I615" s="1063"/>
      <c r="J615" s="1062"/>
      <c r="M615" s="1062"/>
      <c r="N615" s="1062"/>
      <c r="O615" s="1062"/>
    </row>
    <row r="616" spans="3:15" s="1061" customFormat="1">
      <c r="C616" s="1062"/>
      <c r="D616" s="1062"/>
      <c r="E616" s="1062"/>
      <c r="F616" s="1062"/>
      <c r="G616" s="1062"/>
      <c r="H616" s="1062"/>
      <c r="I616" s="1063"/>
      <c r="J616" s="1062"/>
      <c r="M616" s="1062"/>
      <c r="N616" s="1062"/>
      <c r="O616" s="1062"/>
    </row>
    <row r="617" spans="3:15" s="1061" customFormat="1">
      <c r="C617" s="1062"/>
      <c r="D617" s="1062"/>
      <c r="E617" s="1062"/>
      <c r="F617" s="1062"/>
      <c r="G617" s="1062"/>
      <c r="H617" s="1062"/>
      <c r="I617" s="1063"/>
      <c r="J617" s="1062"/>
      <c r="M617" s="1062"/>
      <c r="N617" s="1062"/>
      <c r="O617" s="1062"/>
    </row>
    <row r="618" spans="3:15" s="1061" customFormat="1">
      <c r="C618" s="1062"/>
      <c r="D618" s="1062"/>
      <c r="E618" s="1062"/>
      <c r="F618" s="1062"/>
      <c r="G618" s="1062"/>
      <c r="H618" s="1062"/>
      <c r="I618" s="1063"/>
      <c r="J618" s="1062"/>
      <c r="M618" s="1062"/>
      <c r="N618" s="1062"/>
      <c r="O618" s="1062"/>
    </row>
    <row r="619" spans="3:15" s="1061" customFormat="1">
      <c r="C619" s="1062"/>
      <c r="D619" s="1062"/>
      <c r="E619" s="1062"/>
      <c r="F619" s="1062"/>
      <c r="G619" s="1062"/>
      <c r="H619" s="1062"/>
      <c r="I619" s="1063"/>
      <c r="J619" s="1062"/>
      <c r="M619" s="1062"/>
      <c r="N619" s="1062"/>
      <c r="O619" s="1062"/>
    </row>
    <row r="620" spans="3:15" s="1061" customFormat="1">
      <c r="C620" s="1062"/>
      <c r="D620" s="1062"/>
      <c r="E620" s="1062"/>
      <c r="F620" s="1062"/>
      <c r="G620" s="1062"/>
      <c r="H620" s="1062"/>
      <c r="I620" s="1063"/>
      <c r="J620" s="1062"/>
      <c r="M620" s="1062"/>
      <c r="N620" s="1062"/>
      <c r="O620" s="1062"/>
    </row>
    <row r="621" spans="3:15" s="1061" customFormat="1">
      <c r="C621" s="1062"/>
      <c r="D621" s="1062"/>
      <c r="E621" s="1062"/>
      <c r="F621" s="1062"/>
      <c r="G621" s="1062"/>
      <c r="H621" s="1062"/>
      <c r="I621" s="1063"/>
      <c r="J621" s="1062"/>
      <c r="M621" s="1062"/>
      <c r="N621" s="1062"/>
      <c r="O621" s="1062"/>
    </row>
    <row r="622" spans="3:15" s="1061" customFormat="1">
      <c r="C622" s="1062"/>
      <c r="D622" s="1062"/>
      <c r="E622" s="1062"/>
      <c r="F622" s="1062"/>
      <c r="G622" s="1062"/>
      <c r="H622" s="1062"/>
      <c r="I622" s="1063"/>
      <c r="J622" s="1062"/>
      <c r="M622" s="1062"/>
      <c r="N622" s="1062"/>
      <c r="O622" s="1062"/>
    </row>
    <row r="623" spans="3:15" s="1061" customFormat="1">
      <c r="C623" s="1062"/>
      <c r="D623" s="1062"/>
      <c r="E623" s="1062"/>
      <c r="F623" s="1062"/>
      <c r="G623" s="1062"/>
      <c r="H623" s="1062"/>
      <c r="I623" s="1063"/>
      <c r="J623" s="1062"/>
      <c r="M623" s="1062"/>
      <c r="N623" s="1062"/>
      <c r="O623" s="1062"/>
    </row>
    <row r="624" spans="3:15" s="1061" customFormat="1">
      <c r="C624" s="1062"/>
      <c r="D624" s="1062"/>
      <c r="E624" s="1062"/>
      <c r="F624" s="1062"/>
      <c r="G624" s="1062"/>
      <c r="H624" s="1062"/>
      <c r="I624" s="1063"/>
      <c r="J624" s="1062"/>
      <c r="M624" s="1062"/>
      <c r="N624" s="1062"/>
      <c r="O624" s="1062"/>
    </row>
    <row r="625" spans="3:15" s="1061" customFormat="1" ht="1.5" customHeight="1">
      <c r="C625" s="1062"/>
      <c r="D625" s="1062"/>
      <c r="E625" s="1062"/>
      <c r="F625" s="1062"/>
      <c r="G625" s="1062"/>
      <c r="H625" s="1062"/>
      <c r="I625" s="1063"/>
      <c r="J625" s="1062"/>
      <c r="M625" s="1062"/>
      <c r="N625" s="1062"/>
      <c r="O625" s="1062"/>
    </row>
  </sheetData>
  <mergeCells count="361">
    <mergeCell ref="H134:H139"/>
    <mergeCell ref="F147:F152"/>
    <mergeCell ref="G147:G152"/>
    <mergeCell ref="H147:H152"/>
    <mergeCell ref="I147:I152"/>
    <mergeCell ref="J147:J152"/>
    <mergeCell ref="D133:L133"/>
    <mergeCell ref="D134:D139"/>
    <mergeCell ref="E134:E139"/>
    <mergeCell ref="F134:F139"/>
    <mergeCell ref="G134:G139"/>
    <mergeCell ref="J134:J139"/>
    <mergeCell ref="K134:K139"/>
    <mergeCell ref="D92:L92"/>
    <mergeCell ref="B156:C156"/>
    <mergeCell ref="D117:L117"/>
    <mergeCell ref="D118:D123"/>
    <mergeCell ref="E118:E123"/>
    <mergeCell ref="F118:F123"/>
    <mergeCell ref="G118:G123"/>
    <mergeCell ref="H118:H123"/>
    <mergeCell ref="I118:I123"/>
    <mergeCell ref="L134:L139"/>
    <mergeCell ref="D104:L104"/>
    <mergeCell ref="D105:D110"/>
    <mergeCell ref="E105:E110"/>
    <mergeCell ref="F105:F110"/>
    <mergeCell ref="G105:G110"/>
    <mergeCell ref="H105:H110"/>
    <mergeCell ref="I105:I110"/>
    <mergeCell ref="J105:J110"/>
    <mergeCell ref="K105:K110"/>
    <mergeCell ref="L105:L110"/>
    <mergeCell ref="K147:K152"/>
    <mergeCell ref="L147:L152"/>
    <mergeCell ref="B112:C112"/>
    <mergeCell ref="I134:I139"/>
    <mergeCell ref="B141:C141"/>
    <mergeCell ref="D146:L146"/>
    <mergeCell ref="D147:D152"/>
    <mergeCell ref="E147:E152"/>
    <mergeCell ref="J31:J36"/>
    <mergeCell ref="K31:K36"/>
    <mergeCell ref="L31:L36"/>
    <mergeCell ref="B128:C128"/>
    <mergeCell ref="D16:L16"/>
    <mergeCell ref="D17:D22"/>
    <mergeCell ref="E17:E22"/>
    <mergeCell ref="F17:F22"/>
    <mergeCell ref="G17:G22"/>
    <mergeCell ref="H17:H22"/>
    <mergeCell ref="D31:D36"/>
    <mergeCell ref="E31:E36"/>
    <mergeCell ref="F31:F36"/>
    <mergeCell ref="G31:G36"/>
    <mergeCell ref="H31:H36"/>
    <mergeCell ref="I31:I36"/>
    <mergeCell ref="I63:I68"/>
    <mergeCell ref="J63:J68"/>
    <mergeCell ref="K63:K68"/>
    <mergeCell ref="L63:L68"/>
    <mergeCell ref="L188:L193"/>
    <mergeCell ref="D201:I203"/>
    <mergeCell ref="D204:L204"/>
    <mergeCell ref="J168:J173"/>
    <mergeCell ref="K168:K173"/>
    <mergeCell ref="I17:I22"/>
    <mergeCell ref="J17:J22"/>
    <mergeCell ref="K17:K22"/>
    <mergeCell ref="L17:L22"/>
    <mergeCell ref="D30:L30"/>
    <mergeCell ref="K118:K123"/>
    <mergeCell ref="L118:L123"/>
    <mergeCell ref="H188:H193"/>
    <mergeCell ref="D168:D173"/>
    <mergeCell ref="E168:E173"/>
    <mergeCell ref="F168:F173"/>
    <mergeCell ref="G168:G173"/>
    <mergeCell ref="H168:H173"/>
    <mergeCell ref="I168:I173"/>
    <mergeCell ref="I188:I193"/>
    <mergeCell ref="J93:J97"/>
    <mergeCell ref="K93:K97"/>
    <mergeCell ref="L93:L97"/>
    <mergeCell ref="H63:H68"/>
    <mergeCell ref="D558:L558"/>
    <mergeCell ref="D559:D564"/>
    <mergeCell ref="E559:E564"/>
    <mergeCell ref="F559:F564"/>
    <mergeCell ref="G559:G564"/>
    <mergeCell ref="H559:H564"/>
    <mergeCell ref="J118:J123"/>
    <mergeCell ref="D93:D97"/>
    <mergeCell ref="E93:E97"/>
    <mergeCell ref="F93:F97"/>
    <mergeCell ref="G93:G97"/>
    <mergeCell ref="H93:H97"/>
    <mergeCell ref="I93:I97"/>
    <mergeCell ref="L168:L173"/>
    <mergeCell ref="F205:F210"/>
    <mergeCell ref="D234:D239"/>
    <mergeCell ref="E234:E239"/>
    <mergeCell ref="F234:F239"/>
    <mergeCell ref="G234:G239"/>
    <mergeCell ref="H234:H239"/>
    <mergeCell ref="I234:I239"/>
    <mergeCell ref="J234:J239"/>
    <mergeCell ref="K234:K239"/>
    <mergeCell ref="L234:L239"/>
    <mergeCell ref="G574:G579"/>
    <mergeCell ref="H574:H579"/>
    <mergeCell ref="B176:C176"/>
    <mergeCell ref="D187:L187"/>
    <mergeCell ref="D188:D193"/>
    <mergeCell ref="E188:E193"/>
    <mergeCell ref="F188:F193"/>
    <mergeCell ref="G188:G193"/>
    <mergeCell ref="J188:J193"/>
    <mergeCell ref="K188:K193"/>
    <mergeCell ref="L574:L579"/>
    <mergeCell ref="D219:L219"/>
    <mergeCell ref="D220:D225"/>
    <mergeCell ref="E220:E225"/>
    <mergeCell ref="F220:F225"/>
    <mergeCell ref="G220:G225"/>
    <mergeCell ref="I220:I225"/>
    <mergeCell ref="J220:J225"/>
    <mergeCell ref="K220:K225"/>
    <mergeCell ref="L220:L225"/>
    <mergeCell ref="D230:I232"/>
    <mergeCell ref="H220:H225"/>
    <mergeCell ref="D205:D210"/>
    <mergeCell ref="E205:E210"/>
    <mergeCell ref="B586:C586"/>
    <mergeCell ref="D167:L167"/>
    <mergeCell ref="B505:C505"/>
    <mergeCell ref="B533:C533"/>
    <mergeCell ref="I559:I564"/>
    <mergeCell ref="J559:J564"/>
    <mergeCell ref="K559:K564"/>
    <mergeCell ref="L559:L564"/>
    <mergeCell ref="D573:L573"/>
    <mergeCell ref="G205:G210"/>
    <mergeCell ref="H205:H210"/>
    <mergeCell ref="I205:I210"/>
    <mergeCell ref="B177:K177"/>
    <mergeCell ref="I574:I579"/>
    <mergeCell ref="J574:J579"/>
    <mergeCell ref="K574:K579"/>
    <mergeCell ref="D574:D579"/>
    <mergeCell ref="E574:E579"/>
    <mergeCell ref="F574:F579"/>
    <mergeCell ref="D233:L233"/>
    <mergeCell ref="J205:J210"/>
    <mergeCell ref="K205:K210"/>
    <mergeCell ref="L205:L210"/>
    <mergeCell ref="D216:I218"/>
    <mergeCell ref="D251:I253"/>
    <mergeCell ref="D254:L254"/>
    <mergeCell ref="D255:D260"/>
    <mergeCell ref="E255:E260"/>
    <mergeCell ref="F255:F260"/>
    <mergeCell ref="G255:G260"/>
    <mergeCell ref="H255:H260"/>
    <mergeCell ref="I255:I260"/>
    <mergeCell ref="J255:J260"/>
    <mergeCell ref="K255:K260"/>
    <mergeCell ref="L255:L260"/>
    <mergeCell ref="D270:I272"/>
    <mergeCell ref="D273:L273"/>
    <mergeCell ref="D274:D279"/>
    <mergeCell ref="E274:E279"/>
    <mergeCell ref="F274:F279"/>
    <mergeCell ref="G274:G279"/>
    <mergeCell ref="H274:H279"/>
    <mergeCell ref="I274:I279"/>
    <mergeCell ref="J274:J279"/>
    <mergeCell ref="K274:K279"/>
    <mergeCell ref="L274:L279"/>
    <mergeCell ref="D289:I291"/>
    <mergeCell ref="D292:L292"/>
    <mergeCell ref="D293:D298"/>
    <mergeCell ref="E293:E298"/>
    <mergeCell ref="F293:F298"/>
    <mergeCell ref="G293:G298"/>
    <mergeCell ref="H293:H298"/>
    <mergeCell ref="I293:I298"/>
    <mergeCell ref="J293:J298"/>
    <mergeCell ref="K293:K298"/>
    <mergeCell ref="L293:L298"/>
    <mergeCell ref="D307:I309"/>
    <mergeCell ref="D310:L310"/>
    <mergeCell ref="D311:D316"/>
    <mergeCell ref="E311:E316"/>
    <mergeCell ref="F311:F316"/>
    <mergeCell ref="G311:G316"/>
    <mergeCell ref="H311:H316"/>
    <mergeCell ref="I311:I316"/>
    <mergeCell ref="J311:J316"/>
    <mergeCell ref="K311:K316"/>
    <mergeCell ref="L311:L316"/>
    <mergeCell ref="D327:I329"/>
    <mergeCell ref="D330:L330"/>
    <mergeCell ref="D331:D336"/>
    <mergeCell ref="E331:E336"/>
    <mergeCell ref="F331:F336"/>
    <mergeCell ref="G331:G336"/>
    <mergeCell ref="H331:H336"/>
    <mergeCell ref="J372:J377"/>
    <mergeCell ref="K372:K377"/>
    <mergeCell ref="L372:L377"/>
    <mergeCell ref="I331:I336"/>
    <mergeCell ref="J331:J336"/>
    <mergeCell ref="K331:K336"/>
    <mergeCell ref="L331:L336"/>
    <mergeCell ref="D348:I350"/>
    <mergeCell ref="D351:L351"/>
    <mergeCell ref="D352:D357"/>
    <mergeCell ref="E352:E357"/>
    <mergeCell ref="F352:F357"/>
    <mergeCell ref="G352:G357"/>
    <mergeCell ref="H352:H357"/>
    <mergeCell ref="I352:I357"/>
    <mergeCell ref="J352:J357"/>
    <mergeCell ref="K352:K357"/>
    <mergeCell ref="J385:J390"/>
    <mergeCell ref="K385:K390"/>
    <mergeCell ref="L385:L390"/>
    <mergeCell ref="L352:L357"/>
    <mergeCell ref="D371:L371"/>
    <mergeCell ref="D372:D377"/>
    <mergeCell ref="E372:E377"/>
    <mergeCell ref="F372:F377"/>
    <mergeCell ref="G372:G377"/>
    <mergeCell ref="H372:H377"/>
    <mergeCell ref="I372:I377"/>
    <mergeCell ref="D384:L384"/>
    <mergeCell ref="F424:F429"/>
    <mergeCell ref="G424:G429"/>
    <mergeCell ref="H424:H429"/>
    <mergeCell ref="D385:D390"/>
    <mergeCell ref="E385:E390"/>
    <mergeCell ref="F385:F390"/>
    <mergeCell ref="G385:G390"/>
    <mergeCell ref="H385:H390"/>
    <mergeCell ref="I385:I390"/>
    <mergeCell ref="B395:C395"/>
    <mergeCell ref="D400:L400"/>
    <mergeCell ref="D401:D406"/>
    <mergeCell ref="E401:E406"/>
    <mergeCell ref="F401:F406"/>
    <mergeCell ref="F438:F443"/>
    <mergeCell ref="G438:G443"/>
    <mergeCell ref="H438:H443"/>
    <mergeCell ref="I438:I443"/>
    <mergeCell ref="D437:L437"/>
    <mergeCell ref="I401:I406"/>
    <mergeCell ref="J401:J406"/>
    <mergeCell ref="K401:K406"/>
    <mergeCell ref="L401:L406"/>
    <mergeCell ref="D423:L423"/>
    <mergeCell ref="B432:C432"/>
    <mergeCell ref="G401:G406"/>
    <mergeCell ref="H401:H406"/>
    <mergeCell ref="I424:I429"/>
    <mergeCell ref="J424:J429"/>
    <mergeCell ref="K424:K429"/>
    <mergeCell ref="L424:L429"/>
    <mergeCell ref="D424:D429"/>
    <mergeCell ref="E424:E429"/>
    <mergeCell ref="J438:J443"/>
    <mergeCell ref="K438:K443"/>
    <mergeCell ref="L438:L443"/>
    <mergeCell ref="B443:C443"/>
    <mergeCell ref="B448:I448"/>
    <mergeCell ref="D452:L452"/>
    <mergeCell ref="D438:D443"/>
    <mergeCell ref="E438:E443"/>
    <mergeCell ref="J453:J458"/>
    <mergeCell ref="K453:K458"/>
    <mergeCell ref="L453:L458"/>
    <mergeCell ref="B458:C458"/>
    <mergeCell ref="B462:I462"/>
    <mergeCell ref="D466:L466"/>
    <mergeCell ref="D453:D458"/>
    <mergeCell ref="E453:E458"/>
    <mergeCell ref="F453:F458"/>
    <mergeCell ref="G453:G458"/>
    <mergeCell ref="D467:D472"/>
    <mergeCell ref="E467:E472"/>
    <mergeCell ref="F467:F472"/>
    <mergeCell ref="G467:G472"/>
    <mergeCell ref="H467:H472"/>
    <mergeCell ref="I467:I472"/>
    <mergeCell ref="J467:J472"/>
    <mergeCell ref="K467:K472"/>
    <mergeCell ref="L467:L472"/>
    <mergeCell ref="B472:C472"/>
    <mergeCell ref="H453:H458"/>
    <mergeCell ref="I453:I458"/>
    <mergeCell ref="D481:L481"/>
    <mergeCell ref="D482:D487"/>
    <mergeCell ref="E482:E487"/>
    <mergeCell ref="F482:F487"/>
    <mergeCell ref="G482:G487"/>
    <mergeCell ref="H482:H487"/>
    <mergeCell ref="I497:I502"/>
    <mergeCell ref="I482:I487"/>
    <mergeCell ref="J482:J487"/>
    <mergeCell ref="K482:K487"/>
    <mergeCell ref="L482:L487"/>
    <mergeCell ref="B487:C487"/>
    <mergeCell ref="D496:L496"/>
    <mergeCell ref="G512:G517"/>
    <mergeCell ref="H512:H517"/>
    <mergeCell ref="D497:D502"/>
    <mergeCell ref="E497:E502"/>
    <mergeCell ref="F497:F502"/>
    <mergeCell ref="G497:G502"/>
    <mergeCell ref="H497:H502"/>
    <mergeCell ref="L512:L517"/>
    <mergeCell ref="I539:I544"/>
    <mergeCell ref="J539:J544"/>
    <mergeCell ref="K539:K544"/>
    <mergeCell ref="I525:I530"/>
    <mergeCell ref="D524:L524"/>
    <mergeCell ref="B519:C519"/>
    <mergeCell ref="J497:J502"/>
    <mergeCell ref="K497:K502"/>
    <mergeCell ref="L497:L502"/>
    <mergeCell ref="D511:L511"/>
    <mergeCell ref="D512:D517"/>
    <mergeCell ref="E512:E517"/>
    <mergeCell ref="F512:F517"/>
    <mergeCell ref="I512:I517"/>
    <mergeCell ref="J512:J517"/>
    <mergeCell ref="K512:K517"/>
    <mergeCell ref="B590:I590"/>
    <mergeCell ref="H598:H603"/>
    <mergeCell ref="D62:L62"/>
    <mergeCell ref="D63:D68"/>
    <mergeCell ref="E63:E68"/>
    <mergeCell ref="F63:F68"/>
    <mergeCell ref="G63:G68"/>
    <mergeCell ref="G539:G544"/>
    <mergeCell ref="H539:H544"/>
    <mergeCell ref="D525:D530"/>
    <mergeCell ref="E525:E530"/>
    <mergeCell ref="F525:F530"/>
    <mergeCell ref="G525:G530"/>
    <mergeCell ref="H525:H530"/>
    <mergeCell ref="L539:L544"/>
    <mergeCell ref="B589:I589"/>
    <mergeCell ref="B548:C548"/>
    <mergeCell ref="J525:J530"/>
    <mergeCell ref="K525:K530"/>
    <mergeCell ref="L525:L530"/>
    <mergeCell ref="D538:L538"/>
    <mergeCell ref="D539:D544"/>
    <mergeCell ref="E539:E544"/>
    <mergeCell ref="F539:F544"/>
  </mergeCells>
  <dataValidations count="1">
    <dataValidation type="custom" allowBlank="1" showInputMessage="1" showErrorMessage="1" errorTitle="Հոոոոոոոոոպ!!!" error="Մի փոխեք այս դաշտը" sqref="B407:B412 WVJ194:WVJ197 WLN194:WLN197 WBR194:WBR197 VRV194:VRV197 VHZ194:VHZ197 UYD194:UYD197 UOH194:UOH197 UEL194:UEL197 TUP194:TUP197 TKT194:TKT197 TAX194:TAX197 SRB194:SRB197 SHF194:SHF197 RXJ194:RXJ197 RNN194:RNN197 RDR194:RDR197 QTV194:QTV197 QJZ194:QJZ197 QAD194:QAD197 PQH194:PQH197 PGL194:PGL197 OWP194:OWP197 OMT194:OMT197 OCX194:OCX197 NTB194:NTB197 NJF194:NJF197 MZJ194:MZJ197 MPN194:MPN197 MFR194:MFR197 LVV194:LVV197 LLZ194:LLZ197 LCD194:LCD197 KSH194:KSH197 KIL194:KIL197 JYP194:JYP197 JOT194:JOT197 JEX194:JEX197 IVB194:IVB197 ILF194:ILF197 IBJ194:IBJ197 HRN194:HRN197 HHR194:HHR197 GXV194:GXV197 GNZ194:GNZ197 GED194:GED197 FUH194:FUH197 FKL194:FKL197 FAP194:FAP197 EQT194:EQT197 EGX194:EGX197 DXB194:DXB197 DNF194:DNF197 DDJ194:DDJ197 CTN194:CTN197 CJR194:CJR197 BZV194:BZV197 BPZ194:BPZ197 BGD194:BGD197 AWH194:AWH197 AML194:AML197 ACP194:ACP197 ST194:ST197 IX194:IX197 B194:B197 B391:B393 WVJ407:WVJ412 WLN407:WLN412 WBR407:WBR412 VRV407:VRV412 VHZ407:VHZ412 UYD407:UYD412 UOH407:UOH412 UEL407:UEL412 TUP407:TUP412 TKT407:TKT412 TAX407:TAX412 SRB407:SRB412 SHF407:SHF412 RXJ407:RXJ412 RNN407:RNN412 RDR407:RDR412 QTV407:QTV412 QJZ407:QJZ412 QAD407:QAD412 PQH407:PQH412 PGL407:PGL412 OWP407:OWP412 OMT407:OMT412 OCX407:OCX412 NTB407:NTB412 NJF407:NJF412 MZJ407:MZJ412 MPN407:MPN412 MFR407:MFR412 LVV407:LVV412 LLZ407:LLZ412 LCD407:LCD412 KSH407:KSH412 KIL407:KIL412 JYP407:JYP412 JOT407:JOT412 JEX407:JEX412 IVB407:IVB412 ILF407:ILF412 IBJ407:IBJ412 HRN407:HRN412 HHR407:HHR412 GXV407:GXV412 GNZ407:GNZ412 GED407:GED412 FUH407:FUH412 FKL407:FKL412 FAP407:FAP412 EQT407:EQT412 EGX407:EGX412 DXB407:DXB412 DNF407:DNF412 DDJ407:DDJ412 CTN407:CTN412 CJR407:CJR412 BZV407:BZV412 BPZ407:BPZ412 BGD407:BGD412 AWH407:AWH412 AML407:AML412 ACP407:ACP412 ST407:ST412 IX407:IX412 WVJ391:WVJ394 WLN391:WLN394 WBR391:WBR394 VRV391:VRV394 VHZ391:VHZ394 UYD391:UYD394 UOH391:UOH394 UEL391:UEL394 TUP391:TUP394 TKT391:TKT394 TAX391:TAX394 SRB391:SRB394 SHF391:SHF394 RXJ391:RXJ394 RNN391:RNN394 RDR391:RDR394 QTV391:QTV394 QJZ391:QJZ394 QAD391:QAD394 PQH391:PQH394 PGL391:PGL394 OWP391:OWP394 OMT391:OMT394 OCX391:OCX394 NTB391:NTB394 NJF391:NJF394 MZJ391:MZJ394 MPN391:MPN394 MFR391:MFR394 LVV391:LVV394 LLZ391:LLZ394 LCD391:LCD394 KSH391:KSH394 KIL391:KIL394 JYP391:JYP394 JOT391:JOT394 JEX391:JEX394 IVB391:IVB394 ILF391:ILF394 IBJ391:IBJ394 HRN391:HRN394 HHR391:HHR394 GXV391:GXV394 GNZ391:GNZ394 GED391:GED394 FUH391:FUH394 FKL391:FKL394 FAP391:FAP394 EQT391:EQT394 EGX391:EGX394 DXB391:DXB394 DNF391:DNF394 DDJ391:DDJ394 CTN391:CTN394 CJR391:CJR394 BZV391:BZV394 BPZ391:BPZ394 BGD391:BGD394 AWH391:AWH394 AML391:AML394 ACP391:ACP394 ST391:ST394 IX391:IX394 B66088 IX66088 ST66088 ACP66088 AML66088 AWH66088 BGD66088 BPZ66088 BZV66088 CJR66088 CTN66088 DDJ66088 DNF66088 DXB66088 EGX66088 EQT66088 FAP66088 FKL66088 FUH66088 GED66088 GNZ66088 GXV66088 HHR66088 HRN66088 IBJ66088 ILF66088 IVB66088 JEX66088 JOT66088 JYP66088 KIL66088 KSH66088 LCD66088 LLZ66088 LVV66088 MFR66088 MPN66088 MZJ66088 NJF66088 NTB66088 OCX66088 OMT66088 OWP66088 PGL66088 PQH66088 QAD66088 QJZ66088 QTV66088 RDR66088 RNN66088 RXJ66088 SHF66088 SRB66088 TAX66088 TKT66088 TUP66088 UEL66088 UOH66088 UYD66088 VHZ66088 VRV66088 WBR66088 WLN66088 WVJ66088 B131624 IX131624 ST131624 ACP131624 AML131624 AWH131624 BGD131624 BPZ131624 BZV131624 CJR131624 CTN131624 DDJ131624 DNF131624 DXB131624 EGX131624 EQT131624 FAP131624 FKL131624 FUH131624 GED131624 GNZ131624 GXV131624 HHR131624 HRN131624 IBJ131624 ILF131624 IVB131624 JEX131624 JOT131624 JYP131624 KIL131624 KSH131624 LCD131624 LLZ131624 LVV131624 MFR131624 MPN131624 MZJ131624 NJF131624 NTB131624 OCX131624 OMT131624 OWP131624 PGL131624 PQH131624 QAD131624 QJZ131624 QTV131624 RDR131624 RNN131624 RXJ131624 SHF131624 SRB131624 TAX131624 TKT131624 TUP131624 UEL131624 UOH131624 UYD131624 VHZ131624 VRV131624 WBR131624 WLN131624 WVJ131624 B197160 IX197160 ST197160 ACP197160 AML197160 AWH197160 BGD197160 BPZ197160 BZV197160 CJR197160 CTN197160 DDJ197160 DNF197160 DXB197160 EGX197160 EQT197160 FAP197160 FKL197160 FUH197160 GED197160 GNZ197160 GXV197160 HHR197160 HRN197160 IBJ197160 ILF197160 IVB197160 JEX197160 JOT197160 JYP197160 KIL197160 KSH197160 LCD197160 LLZ197160 LVV197160 MFR197160 MPN197160 MZJ197160 NJF197160 NTB197160 OCX197160 OMT197160 OWP197160 PGL197160 PQH197160 QAD197160 QJZ197160 QTV197160 RDR197160 RNN197160 RXJ197160 SHF197160 SRB197160 TAX197160 TKT197160 TUP197160 UEL197160 UOH197160 UYD197160 VHZ197160 VRV197160 WBR197160 WLN197160 WVJ197160 B262696 IX262696 ST262696 ACP262696 AML262696 AWH262696 BGD262696 BPZ262696 BZV262696 CJR262696 CTN262696 DDJ262696 DNF262696 DXB262696 EGX262696 EQT262696 FAP262696 FKL262696 FUH262696 GED262696 GNZ262696 GXV262696 HHR262696 HRN262696 IBJ262696 ILF262696 IVB262696 JEX262696 JOT262696 JYP262696 KIL262696 KSH262696 LCD262696 LLZ262696 LVV262696 MFR262696 MPN262696 MZJ262696 NJF262696 NTB262696 OCX262696 OMT262696 OWP262696 PGL262696 PQH262696 QAD262696 QJZ262696 QTV262696 RDR262696 RNN262696 RXJ262696 SHF262696 SRB262696 TAX262696 TKT262696 TUP262696 UEL262696 UOH262696 UYD262696 VHZ262696 VRV262696 WBR262696 WLN262696 WVJ262696 B328232 IX328232 ST328232 ACP328232 AML328232 AWH328232 BGD328232 BPZ328232 BZV328232 CJR328232 CTN328232 DDJ328232 DNF328232 DXB328232 EGX328232 EQT328232 FAP328232 FKL328232 FUH328232 GED328232 GNZ328232 GXV328232 HHR328232 HRN328232 IBJ328232 ILF328232 IVB328232 JEX328232 JOT328232 JYP328232 KIL328232 KSH328232 LCD328232 LLZ328232 LVV328232 MFR328232 MPN328232 MZJ328232 NJF328232 NTB328232 OCX328232 OMT328232 OWP328232 PGL328232 PQH328232 QAD328232 QJZ328232 QTV328232 RDR328232 RNN328232 RXJ328232 SHF328232 SRB328232 TAX328232 TKT328232 TUP328232 UEL328232 UOH328232 UYD328232 VHZ328232 VRV328232 WBR328232 WLN328232 WVJ328232 B393768 IX393768 ST393768 ACP393768 AML393768 AWH393768 BGD393768 BPZ393768 BZV393768 CJR393768 CTN393768 DDJ393768 DNF393768 DXB393768 EGX393768 EQT393768 FAP393768 FKL393768 FUH393768 GED393768 GNZ393768 GXV393768 HHR393768 HRN393768 IBJ393768 ILF393768 IVB393768 JEX393768 JOT393768 JYP393768 KIL393768 KSH393768 LCD393768 LLZ393768 LVV393768 MFR393768 MPN393768 MZJ393768 NJF393768 NTB393768 OCX393768 OMT393768 OWP393768 PGL393768 PQH393768 QAD393768 QJZ393768 QTV393768 RDR393768 RNN393768 RXJ393768 SHF393768 SRB393768 TAX393768 TKT393768 TUP393768 UEL393768 UOH393768 UYD393768 VHZ393768 VRV393768 WBR393768 WLN393768 WVJ393768 B459304 IX459304 ST459304 ACP459304 AML459304 AWH459304 BGD459304 BPZ459304 BZV459304 CJR459304 CTN459304 DDJ459304 DNF459304 DXB459304 EGX459304 EQT459304 FAP459304 FKL459304 FUH459304 GED459304 GNZ459304 GXV459304 HHR459304 HRN459304 IBJ459304 ILF459304 IVB459304 JEX459304 JOT459304 JYP459304 KIL459304 KSH459304 LCD459304 LLZ459304 LVV459304 MFR459304 MPN459304 MZJ459304 NJF459304 NTB459304 OCX459304 OMT459304 OWP459304 PGL459304 PQH459304 QAD459304 QJZ459304 QTV459304 RDR459304 RNN459304 RXJ459304 SHF459304 SRB459304 TAX459304 TKT459304 TUP459304 UEL459304 UOH459304 UYD459304 VHZ459304 VRV459304 WBR459304 WLN459304 WVJ459304 B524840 IX524840 ST524840 ACP524840 AML524840 AWH524840 BGD524840 BPZ524840 BZV524840 CJR524840 CTN524840 DDJ524840 DNF524840 DXB524840 EGX524840 EQT524840 FAP524840 FKL524840 FUH524840 GED524840 GNZ524840 GXV524840 HHR524840 HRN524840 IBJ524840 ILF524840 IVB524840 JEX524840 JOT524840 JYP524840 KIL524840 KSH524840 LCD524840 LLZ524840 LVV524840 MFR524840 MPN524840 MZJ524840 NJF524840 NTB524840 OCX524840 OMT524840 OWP524840 PGL524840 PQH524840 QAD524840 QJZ524840 QTV524840 RDR524840 RNN524840 RXJ524840 SHF524840 SRB524840 TAX524840 TKT524840 TUP524840 UEL524840 UOH524840 UYD524840 VHZ524840 VRV524840 WBR524840 WLN524840 WVJ524840 B590376 IX590376 ST590376 ACP590376 AML590376 AWH590376 BGD590376 BPZ590376 BZV590376 CJR590376 CTN590376 DDJ590376 DNF590376 DXB590376 EGX590376 EQT590376 FAP590376 FKL590376 FUH590376 GED590376 GNZ590376 GXV590376 HHR590376 HRN590376 IBJ590376 ILF590376 IVB590376 JEX590376 JOT590376 JYP590376 KIL590376 KSH590376 LCD590376 LLZ590376 LVV590376 MFR590376 MPN590376 MZJ590376 NJF590376 NTB590376 OCX590376 OMT590376 OWP590376 PGL590376 PQH590376 QAD590376 QJZ590376 QTV590376 RDR590376 RNN590376 RXJ590376 SHF590376 SRB590376 TAX590376 TKT590376 TUP590376 UEL590376 UOH590376 UYD590376 VHZ590376 VRV590376 WBR590376 WLN590376 WVJ590376 B655912 IX655912 ST655912 ACP655912 AML655912 AWH655912 BGD655912 BPZ655912 BZV655912 CJR655912 CTN655912 DDJ655912 DNF655912 DXB655912 EGX655912 EQT655912 FAP655912 FKL655912 FUH655912 GED655912 GNZ655912 GXV655912 HHR655912 HRN655912 IBJ655912 ILF655912 IVB655912 JEX655912 JOT655912 JYP655912 KIL655912 KSH655912 LCD655912 LLZ655912 LVV655912 MFR655912 MPN655912 MZJ655912 NJF655912 NTB655912 OCX655912 OMT655912 OWP655912 PGL655912 PQH655912 QAD655912 QJZ655912 QTV655912 RDR655912 RNN655912 RXJ655912 SHF655912 SRB655912 TAX655912 TKT655912 TUP655912 UEL655912 UOH655912 UYD655912 VHZ655912 VRV655912 WBR655912 WLN655912 WVJ655912 B721448 IX721448 ST721448 ACP721448 AML721448 AWH721448 BGD721448 BPZ721448 BZV721448 CJR721448 CTN721448 DDJ721448 DNF721448 DXB721448 EGX721448 EQT721448 FAP721448 FKL721448 FUH721448 GED721448 GNZ721448 GXV721448 HHR721448 HRN721448 IBJ721448 ILF721448 IVB721448 JEX721448 JOT721448 JYP721448 KIL721448 KSH721448 LCD721448 LLZ721448 LVV721448 MFR721448 MPN721448 MZJ721448 NJF721448 NTB721448 OCX721448 OMT721448 OWP721448 PGL721448 PQH721448 QAD721448 QJZ721448 QTV721448 RDR721448 RNN721448 RXJ721448 SHF721448 SRB721448 TAX721448 TKT721448 TUP721448 UEL721448 UOH721448 UYD721448 VHZ721448 VRV721448 WBR721448 WLN721448 WVJ721448 B786984 IX786984 ST786984 ACP786984 AML786984 AWH786984 BGD786984 BPZ786984 BZV786984 CJR786984 CTN786984 DDJ786984 DNF786984 DXB786984 EGX786984 EQT786984 FAP786984 FKL786984 FUH786984 GED786984 GNZ786984 GXV786984 HHR786984 HRN786984 IBJ786984 ILF786984 IVB786984 JEX786984 JOT786984 JYP786984 KIL786984 KSH786984 LCD786984 LLZ786984 LVV786984 MFR786984 MPN786984 MZJ786984 NJF786984 NTB786984 OCX786984 OMT786984 OWP786984 PGL786984 PQH786984 QAD786984 QJZ786984 QTV786984 RDR786984 RNN786984 RXJ786984 SHF786984 SRB786984 TAX786984 TKT786984 TUP786984 UEL786984 UOH786984 UYD786984 VHZ786984 VRV786984 WBR786984 WLN786984 WVJ786984 B852520 IX852520 ST852520 ACP852520 AML852520 AWH852520 BGD852520 BPZ852520 BZV852520 CJR852520 CTN852520 DDJ852520 DNF852520 DXB852520 EGX852520 EQT852520 FAP852520 FKL852520 FUH852520 GED852520 GNZ852520 GXV852520 HHR852520 HRN852520 IBJ852520 ILF852520 IVB852520 JEX852520 JOT852520 JYP852520 KIL852520 KSH852520 LCD852520 LLZ852520 LVV852520 MFR852520 MPN852520 MZJ852520 NJF852520 NTB852520 OCX852520 OMT852520 OWP852520 PGL852520 PQH852520 QAD852520 QJZ852520 QTV852520 RDR852520 RNN852520 RXJ852520 SHF852520 SRB852520 TAX852520 TKT852520 TUP852520 UEL852520 UOH852520 UYD852520 VHZ852520 VRV852520 WBR852520 WLN852520 WVJ852520 B918056 IX918056 ST918056 ACP918056 AML918056 AWH918056 BGD918056 BPZ918056 BZV918056 CJR918056 CTN918056 DDJ918056 DNF918056 DXB918056 EGX918056 EQT918056 FAP918056 FKL918056 FUH918056 GED918056 GNZ918056 GXV918056 HHR918056 HRN918056 IBJ918056 ILF918056 IVB918056 JEX918056 JOT918056 JYP918056 KIL918056 KSH918056 LCD918056 LLZ918056 LVV918056 MFR918056 MPN918056 MZJ918056 NJF918056 NTB918056 OCX918056 OMT918056 OWP918056 PGL918056 PQH918056 QAD918056 QJZ918056 QTV918056 RDR918056 RNN918056 RXJ918056 SHF918056 SRB918056 TAX918056 TKT918056 TUP918056 UEL918056 UOH918056 UYD918056 VHZ918056 VRV918056 WBR918056 WLN918056 WVJ918056 B983592 IX983592 ST983592 ACP983592 AML983592 AWH983592 BGD983592 BPZ983592 BZV983592 CJR983592 CTN983592 DDJ983592 DNF983592 DXB983592 EGX983592 EQT983592 FAP983592 FKL983592 FUH983592 GED983592 GNZ983592 GXV983592 HHR983592 HRN983592 IBJ983592 ILF983592 IVB983592 JEX983592 JOT983592 JYP983592 KIL983592 KSH983592 LCD983592 LLZ983592 LVV983592 MFR983592 MPN983592 MZJ983592 NJF983592 NTB983592 OCX983592 OMT983592 OWP983592 PGL983592 PQH983592 QAD983592 QJZ983592 QTV983592 RDR983592 RNN983592 RXJ983592 SHF983592 SRB983592 TAX983592 TKT983592 TUP983592 UEL983592 UOH983592 UYD983592 VHZ983592 VRV983592 WBR983592 WLN983592 WVJ983592 WVJ983266:WVJ983269 B65960:B65963 IX65960:IX65963 ST65960:ST65963 ACP65960:ACP65963 AML65960:AML65963 AWH65960:AWH65963 BGD65960:BGD65963 BPZ65960:BPZ65963 BZV65960:BZV65963 CJR65960:CJR65963 CTN65960:CTN65963 DDJ65960:DDJ65963 DNF65960:DNF65963 DXB65960:DXB65963 EGX65960:EGX65963 EQT65960:EQT65963 FAP65960:FAP65963 FKL65960:FKL65963 FUH65960:FUH65963 GED65960:GED65963 GNZ65960:GNZ65963 GXV65960:GXV65963 HHR65960:HHR65963 HRN65960:HRN65963 IBJ65960:IBJ65963 ILF65960:ILF65963 IVB65960:IVB65963 JEX65960:JEX65963 JOT65960:JOT65963 JYP65960:JYP65963 KIL65960:KIL65963 KSH65960:KSH65963 LCD65960:LCD65963 LLZ65960:LLZ65963 LVV65960:LVV65963 MFR65960:MFR65963 MPN65960:MPN65963 MZJ65960:MZJ65963 NJF65960:NJF65963 NTB65960:NTB65963 OCX65960:OCX65963 OMT65960:OMT65963 OWP65960:OWP65963 PGL65960:PGL65963 PQH65960:PQH65963 QAD65960:QAD65963 QJZ65960:QJZ65963 QTV65960:QTV65963 RDR65960:RDR65963 RNN65960:RNN65963 RXJ65960:RXJ65963 SHF65960:SHF65963 SRB65960:SRB65963 TAX65960:TAX65963 TKT65960:TKT65963 TUP65960:TUP65963 UEL65960:UEL65963 UOH65960:UOH65963 UYD65960:UYD65963 VHZ65960:VHZ65963 VRV65960:VRV65963 WBR65960:WBR65963 WLN65960:WLN65963 WVJ65960:WVJ65963 B131496:B131499 IX131496:IX131499 ST131496:ST131499 ACP131496:ACP131499 AML131496:AML131499 AWH131496:AWH131499 BGD131496:BGD131499 BPZ131496:BPZ131499 BZV131496:BZV131499 CJR131496:CJR131499 CTN131496:CTN131499 DDJ131496:DDJ131499 DNF131496:DNF131499 DXB131496:DXB131499 EGX131496:EGX131499 EQT131496:EQT131499 FAP131496:FAP131499 FKL131496:FKL131499 FUH131496:FUH131499 GED131496:GED131499 GNZ131496:GNZ131499 GXV131496:GXV131499 HHR131496:HHR131499 HRN131496:HRN131499 IBJ131496:IBJ131499 ILF131496:ILF131499 IVB131496:IVB131499 JEX131496:JEX131499 JOT131496:JOT131499 JYP131496:JYP131499 KIL131496:KIL131499 KSH131496:KSH131499 LCD131496:LCD131499 LLZ131496:LLZ131499 LVV131496:LVV131499 MFR131496:MFR131499 MPN131496:MPN131499 MZJ131496:MZJ131499 NJF131496:NJF131499 NTB131496:NTB131499 OCX131496:OCX131499 OMT131496:OMT131499 OWP131496:OWP131499 PGL131496:PGL131499 PQH131496:PQH131499 QAD131496:QAD131499 QJZ131496:QJZ131499 QTV131496:QTV131499 RDR131496:RDR131499 RNN131496:RNN131499 RXJ131496:RXJ131499 SHF131496:SHF131499 SRB131496:SRB131499 TAX131496:TAX131499 TKT131496:TKT131499 TUP131496:TUP131499 UEL131496:UEL131499 UOH131496:UOH131499 UYD131496:UYD131499 VHZ131496:VHZ131499 VRV131496:VRV131499 WBR131496:WBR131499 WLN131496:WLN131499 WVJ131496:WVJ131499 B197032:B197035 IX197032:IX197035 ST197032:ST197035 ACP197032:ACP197035 AML197032:AML197035 AWH197032:AWH197035 BGD197032:BGD197035 BPZ197032:BPZ197035 BZV197032:BZV197035 CJR197032:CJR197035 CTN197032:CTN197035 DDJ197032:DDJ197035 DNF197032:DNF197035 DXB197032:DXB197035 EGX197032:EGX197035 EQT197032:EQT197035 FAP197032:FAP197035 FKL197032:FKL197035 FUH197032:FUH197035 GED197032:GED197035 GNZ197032:GNZ197035 GXV197032:GXV197035 HHR197032:HHR197035 HRN197032:HRN197035 IBJ197032:IBJ197035 ILF197032:ILF197035 IVB197032:IVB197035 JEX197032:JEX197035 JOT197032:JOT197035 JYP197032:JYP197035 KIL197032:KIL197035 KSH197032:KSH197035 LCD197032:LCD197035 LLZ197032:LLZ197035 LVV197032:LVV197035 MFR197032:MFR197035 MPN197032:MPN197035 MZJ197032:MZJ197035 NJF197032:NJF197035 NTB197032:NTB197035 OCX197032:OCX197035 OMT197032:OMT197035 OWP197032:OWP197035 PGL197032:PGL197035 PQH197032:PQH197035 QAD197032:QAD197035 QJZ197032:QJZ197035 QTV197032:QTV197035 RDR197032:RDR197035 RNN197032:RNN197035 RXJ197032:RXJ197035 SHF197032:SHF197035 SRB197032:SRB197035 TAX197032:TAX197035 TKT197032:TKT197035 TUP197032:TUP197035 UEL197032:UEL197035 UOH197032:UOH197035 UYD197032:UYD197035 VHZ197032:VHZ197035 VRV197032:VRV197035 WBR197032:WBR197035 WLN197032:WLN197035 WVJ197032:WVJ197035 B262568:B262571 IX262568:IX262571 ST262568:ST262571 ACP262568:ACP262571 AML262568:AML262571 AWH262568:AWH262571 BGD262568:BGD262571 BPZ262568:BPZ262571 BZV262568:BZV262571 CJR262568:CJR262571 CTN262568:CTN262571 DDJ262568:DDJ262571 DNF262568:DNF262571 DXB262568:DXB262571 EGX262568:EGX262571 EQT262568:EQT262571 FAP262568:FAP262571 FKL262568:FKL262571 FUH262568:FUH262571 GED262568:GED262571 GNZ262568:GNZ262571 GXV262568:GXV262571 HHR262568:HHR262571 HRN262568:HRN262571 IBJ262568:IBJ262571 ILF262568:ILF262571 IVB262568:IVB262571 JEX262568:JEX262571 JOT262568:JOT262571 JYP262568:JYP262571 KIL262568:KIL262571 KSH262568:KSH262571 LCD262568:LCD262571 LLZ262568:LLZ262571 LVV262568:LVV262571 MFR262568:MFR262571 MPN262568:MPN262571 MZJ262568:MZJ262571 NJF262568:NJF262571 NTB262568:NTB262571 OCX262568:OCX262571 OMT262568:OMT262571 OWP262568:OWP262571 PGL262568:PGL262571 PQH262568:PQH262571 QAD262568:QAD262571 QJZ262568:QJZ262571 QTV262568:QTV262571 RDR262568:RDR262571 RNN262568:RNN262571 RXJ262568:RXJ262571 SHF262568:SHF262571 SRB262568:SRB262571 TAX262568:TAX262571 TKT262568:TKT262571 TUP262568:TUP262571 UEL262568:UEL262571 UOH262568:UOH262571 UYD262568:UYD262571 VHZ262568:VHZ262571 VRV262568:VRV262571 WBR262568:WBR262571 WLN262568:WLN262571 WVJ262568:WVJ262571 B328104:B328107 IX328104:IX328107 ST328104:ST328107 ACP328104:ACP328107 AML328104:AML328107 AWH328104:AWH328107 BGD328104:BGD328107 BPZ328104:BPZ328107 BZV328104:BZV328107 CJR328104:CJR328107 CTN328104:CTN328107 DDJ328104:DDJ328107 DNF328104:DNF328107 DXB328104:DXB328107 EGX328104:EGX328107 EQT328104:EQT328107 FAP328104:FAP328107 FKL328104:FKL328107 FUH328104:FUH328107 GED328104:GED328107 GNZ328104:GNZ328107 GXV328104:GXV328107 HHR328104:HHR328107 HRN328104:HRN328107 IBJ328104:IBJ328107 ILF328104:ILF328107 IVB328104:IVB328107 JEX328104:JEX328107 JOT328104:JOT328107 JYP328104:JYP328107 KIL328104:KIL328107 KSH328104:KSH328107 LCD328104:LCD328107 LLZ328104:LLZ328107 LVV328104:LVV328107 MFR328104:MFR328107 MPN328104:MPN328107 MZJ328104:MZJ328107 NJF328104:NJF328107 NTB328104:NTB328107 OCX328104:OCX328107 OMT328104:OMT328107 OWP328104:OWP328107 PGL328104:PGL328107 PQH328104:PQH328107 QAD328104:QAD328107 QJZ328104:QJZ328107 QTV328104:QTV328107 RDR328104:RDR328107 RNN328104:RNN328107 RXJ328104:RXJ328107 SHF328104:SHF328107 SRB328104:SRB328107 TAX328104:TAX328107 TKT328104:TKT328107 TUP328104:TUP328107 UEL328104:UEL328107 UOH328104:UOH328107 UYD328104:UYD328107 VHZ328104:VHZ328107 VRV328104:VRV328107 WBR328104:WBR328107 WLN328104:WLN328107 WVJ328104:WVJ328107 B393640:B393643 IX393640:IX393643 ST393640:ST393643 ACP393640:ACP393643 AML393640:AML393643 AWH393640:AWH393643 BGD393640:BGD393643 BPZ393640:BPZ393643 BZV393640:BZV393643 CJR393640:CJR393643 CTN393640:CTN393643 DDJ393640:DDJ393643 DNF393640:DNF393643 DXB393640:DXB393643 EGX393640:EGX393643 EQT393640:EQT393643 FAP393640:FAP393643 FKL393640:FKL393643 FUH393640:FUH393643 GED393640:GED393643 GNZ393640:GNZ393643 GXV393640:GXV393643 HHR393640:HHR393643 HRN393640:HRN393643 IBJ393640:IBJ393643 ILF393640:ILF393643 IVB393640:IVB393643 JEX393640:JEX393643 JOT393640:JOT393643 JYP393640:JYP393643 KIL393640:KIL393643 KSH393640:KSH393643 LCD393640:LCD393643 LLZ393640:LLZ393643 LVV393640:LVV393643 MFR393640:MFR393643 MPN393640:MPN393643 MZJ393640:MZJ393643 NJF393640:NJF393643 NTB393640:NTB393643 OCX393640:OCX393643 OMT393640:OMT393643 OWP393640:OWP393643 PGL393640:PGL393643 PQH393640:PQH393643 QAD393640:QAD393643 QJZ393640:QJZ393643 QTV393640:QTV393643 RDR393640:RDR393643 RNN393640:RNN393643 RXJ393640:RXJ393643 SHF393640:SHF393643 SRB393640:SRB393643 TAX393640:TAX393643 TKT393640:TKT393643 TUP393640:TUP393643 UEL393640:UEL393643 UOH393640:UOH393643 UYD393640:UYD393643 VHZ393640:VHZ393643 VRV393640:VRV393643 WBR393640:WBR393643 WLN393640:WLN393643 WVJ393640:WVJ393643 B459176:B459179 IX459176:IX459179 ST459176:ST459179 ACP459176:ACP459179 AML459176:AML459179 AWH459176:AWH459179 BGD459176:BGD459179 BPZ459176:BPZ459179 BZV459176:BZV459179 CJR459176:CJR459179 CTN459176:CTN459179 DDJ459176:DDJ459179 DNF459176:DNF459179 DXB459176:DXB459179 EGX459176:EGX459179 EQT459176:EQT459179 FAP459176:FAP459179 FKL459176:FKL459179 FUH459176:FUH459179 GED459176:GED459179 GNZ459176:GNZ459179 GXV459176:GXV459179 HHR459176:HHR459179 HRN459176:HRN459179 IBJ459176:IBJ459179 ILF459176:ILF459179 IVB459176:IVB459179 JEX459176:JEX459179 JOT459176:JOT459179 JYP459176:JYP459179 KIL459176:KIL459179 KSH459176:KSH459179 LCD459176:LCD459179 LLZ459176:LLZ459179 LVV459176:LVV459179 MFR459176:MFR459179 MPN459176:MPN459179 MZJ459176:MZJ459179 NJF459176:NJF459179 NTB459176:NTB459179 OCX459176:OCX459179 OMT459176:OMT459179 OWP459176:OWP459179 PGL459176:PGL459179 PQH459176:PQH459179 QAD459176:QAD459179 QJZ459176:QJZ459179 QTV459176:QTV459179 RDR459176:RDR459179 RNN459176:RNN459179 RXJ459176:RXJ459179 SHF459176:SHF459179 SRB459176:SRB459179 TAX459176:TAX459179 TKT459176:TKT459179 TUP459176:TUP459179 UEL459176:UEL459179 UOH459176:UOH459179 UYD459176:UYD459179 VHZ459176:VHZ459179 VRV459176:VRV459179 WBR459176:WBR459179 WLN459176:WLN459179 WVJ459176:WVJ459179 B524712:B524715 IX524712:IX524715 ST524712:ST524715 ACP524712:ACP524715 AML524712:AML524715 AWH524712:AWH524715 BGD524712:BGD524715 BPZ524712:BPZ524715 BZV524712:BZV524715 CJR524712:CJR524715 CTN524712:CTN524715 DDJ524712:DDJ524715 DNF524712:DNF524715 DXB524712:DXB524715 EGX524712:EGX524715 EQT524712:EQT524715 FAP524712:FAP524715 FKL524712:FKL524715 FUH524712:FUH524715 GED524712:GED524715 GNZ524712:GNZ524715 GXV524712:GXV524715 HHR524712:HHR524715 HRN524712:HRN524715 IBJ524712:IBJ524715 ILF524712:ILF524715 IVB524712:IVB524715 JEX524712:JEX524715 JOT524712:JOT524715 JYP524712:JYP524715 KIL524712:KIL524715 KSH524712:KSH524715 LCD524712:LCD524715 LLZ524712:LLZ524715 LVV524712:LVV524715 MFR524712:MFR524715 MPN524712:MPN524715 MZJ524712:MZJ524715 NJF524712:NJF524715 NTB524712:NTB524715 OCX524712:OCX524715 OMT524712:OMT524715 OWP524712:OWP524715 PGL524712:PGL524715 PQH524712:PQH524715 QAD524712:QAD524715 QJZ524712:QJZ524715 QTV524712:QTV524715 RDR524712:RDR524715 RNN524712:RNN524715 RXJ524712:RXJ524715 SHF524712:SHF524715 SRB524712:SRB524715 TAX524712:TAX524715 TKT524712:TKT524715 TUP524712:TUP524715 UEL524712:UEL524715 UOH524712:UOH524715 UYD524712:UYD524715 VHZ524712:VHZ524715 VRV524712:VRV524715 WBR524712:WBR524715 WLN524712:WLN524715 WVJ524712:WVJ524715 B590248:B590251 IX590248:IX590251 ST590248:ST590251 ACP590248:ACP590251 AML590248:AML590251 AWH590248:AWH590251 BGD590248:BGD590251 BPZ590248:BPZ590251 BZV590248:BZV590251 CJR590248:CJR590251 CTN590248:CTN590251 DDJ590248:DDJ590251 DNF590248:DNF590251 DXB590248:DXB590251 EGX590248:EGX590251 EQT590248:EQT590251 FAP590248:FAP590251 FKL590248:FKL590251 FUH590248:FUH590251 GED590248:GED590251 GNZ590248:GNZ590251 GXV590248:GXV590251 HHR590248:HHR590251 HRN590248:HRN590251 IBJ590248:IBJ590251 ILF590248:ILF590251 IVB590248:IVB590251 JEX590248:JEX590251 JOT590248:JOT590251 JYP590248:JYP590251 KIL590248:KIL590251 KSH590248:KSH590251 LCD590248:LCD590251 LLZ590248:LLZ590251 LVV590248:LVV590251 MFR590248:MFR590251 MPN590248:MPN590251 MZJ590248:MZJ590251 NJF590248:NJF590251 NTB590248:NTB590251 OCX590248:OCX590251 OMT590248:OMT590251 OWP590248:OWP590251 PGL590248:PGL590251 PQH590248:PQH590251 QAD590248:QAD590251 QJZ590248:QJZ590251 QTV590248:QTV590251 RDR590248:RDR590251 RNN590248:RNN590251 RXJ590248:RXJ590251 SHF590248:SHF590251 SRB590248:SRB590251 TAX590248:TAX590251 TKT590248:TKT590251 TUP590248:TUP590251 UEL590248:UEL590251 UOH590248:UOH590251 UYD590248:UYD590251 VHZ590248:VHZ590251 VRV590248:VRV590251 WBR590248:WBR590251 WLN590248:WLN590251 WVJ590248:WVJ590251 B655784:B655787 IX655784:IX655787 ST655784:ST655787 ACP655784:ACP655787 AML655784:AML655787 AWH655784:AWH655787 BGD655784:BGD655787 BPZ655784:BPZ655787 BZV655784:BZV655787 CJR655784:CJR655787 CTN655784:CTN655787 DDJ655784:DDJ655787 DNF655784:DNF655787 DXB655784:DXB655787 EGX655784:EGX655787 EQT655784:EQT655787 FAP655784:FAP655787 FKL655784:FKL655787 FUH655784:FUH655787 GED655784:GED655787 GNZ655784:GNZ655787 GXV655784:GXV655787 HHR655784:HHR655787 HRN655784:HRN655787 IBJ655784:IBJ655787 ILF655784:ILF655787 IVB655784:IVB655787 JEX655784:JEX655787 JOT655784:JOT655787 JYP655784:JYP655787 KIL655784:KIL655787 KSH655784:KSH655787 LCD655784:LCD655787 LLZ655784:LLZ655787 LVV655784:LVV655787 MFR655784:MFR655787 MPN655784:MPN655787 MZJ655784:MZJ655787 NJF655784:NJF655787 NTB655784:NTB655787 OCX655784:OCX655787 OMT655784:OMT655787 OWP655784:OWP655787 PGL655784:PGL655787 PQH655784:PQH655787 QAD655784:QAD655787 QJZ655784:QJZ655787 QTV655784:QTV655787 RDR655784:RDR655787 RNN655784:RNN655787 RXJ655784:RXJ655787 SHF655784:SHF655787 SRB655784:SRB655787 TAX655784:TAX655787 TKT655784:TKT655787 TUP655784:TUP655787 UEL655784:UEL655787 UOH655784:UOH655787 UYD655784:UYD655787 VHZ655784:VHZ655787 VRV655784:VRV655787 WBR655784:WBR655787 WLN655784:WLN655787 WVJ655784:WVJ655787 B721320:B721323 IX721320:IX721323 ST721320:ST721323 ACP721320:ACP721323 AML721320:AML721323 AWH721320:AWH721323 BGD721320:BGD721323 BPZ721320:BPZ721323 BZV721320:BZV721323 CJR721320:CJR721323 CTN721320:CTN721323 DDJ721320:DDJ721323 DNF721320:DNF721323 DXB721320:DXB721323 EGX721320:EGX721323 EQT721320:EQT721323 FAP721320:FAP721323 FKL721320:FKL721323 FUH721320:FUH721323 GED721320:GED721323 GNZ721320:GNZ721323 GXV721320:GXV721323 HHR721320:HHR721323 HRN721320:HRN721323 IBJ721320:IBJ721323 ILF721320:ILF721323 IVB721320:IVB721323 JEX721320:JEX721323 JOT721320:JOT721323 JYP721320:JYP721323 KIL721320:KIL721323 KSH721320:KSH721323 LCD721320:LCD721323 LLZ721320:LLZ721323 LVV721320:LVV721323 MFR721320:MFR721323 MPN721320:MPN721323 MZJ721320:MZJ721323 NJF721320:NJF721323 NTB721320:NTB721323 OCX721320:OCX721323 OMT721320:OMT721323 OWP721320:OWP721323 PGL721320:PGL721323 PQH721320:PQH721323 QAD721320:QAD721323 QJZ721320:QJZ721323 QTV721320:QTV721323 RDR721320:RDR721323 RNN721320:RNN721323 RXJ721320:RXJ721323 SHF721320:SHF721323 SRB721320:SRB721323 TAX721320:TAX721323 TKT721320:TKT721323 TUP721320:TUP721323 UEL721320:UEL721323 UOH721320:UOH721323 UYD721320:UYD721323 VHZ721320:VHZ721323 VRV721320:VRV721323 WBR721320:WBR721323 WLN721320:WLN721323 WVJ721320:WVJ721323 B786856:B786859 IX786856:IX786859 ST786856:ST786859 ACP786856:ACP786859 AML786856:AML786859 AWH786856:AWH786859 BGD786856:BGD786859 BPZ786856:BPZ786859 BZV786856:BZV786859 CJR786856:CJR786859 CTN786856:CTN786859 DDJ786856:DDJ786859 DNF786856:DNF786859 DXB786856:DXB786859 EGX786856:EGX786859 EQT786856:EQT786859 FAP786856:FAP786859 FKL786856:FKL786859 FUH786856:FUH786859 GED786856:GED786859 GNZ786856:GNZ786859 GXV786856:GXV786859 HHR786856:HHR786859 HRN786856:HRN786859 IBJ786856:IBJ786859 ILF786856:ILF786859 IVB786856:IVB786859 JEX786856:JEX786859 JOT786856:JOT786859 JYP786856:JYP786859 KIL786856:KIL786859 KSH786856:KSH786859 LCD786856:LCD786859 LLZ786856:LLZ786859 LVV786856:LVV786859 MFR786856:MFR786859 MPN786856:MPN786859 MZJ786856:MZJ786859 NJF786856:NJF786859 NTB786856:NTB786859 OCX786856:OCX786859 OMT786856:OMT786859 OWP786856:OWP786859 PGL786856:PGL786859 PQH786856:PQH786859 QAD786856:QAD786859 QJZ786856:QJZ786859 QTV786856:QTV786859 RDR786856:RDR786859 RNN786856:RNN786859 RXJ786856:RXJ786859 SHF786856:SHF786859 SRB786856:SRB786859 TAX786856:TAX786859 TKT786856:TKT786859 TUP786856:TUP786859 UEL786856:UEL786859 UOH786856:UOH786859 UYD786856:UYD786859 VHZ786856:VHZ786859 VRV786856:VRV786859 WBR786856:WBR786859 WLN786856:WLN786859 WVJ786856:WVJ786859 B852392:B852395 IX852392:IX852395 ST852392:ST852395 ACP852392:ACP852395 AML852392:AML852395 AWH852392:AWH852395 BGD852392:BGD852395 BPZ852392:BPZ852395 BZV852392:BZV852395 CJR852392:CJR852395 CTN852392:CTN852395 DDJ852392:DDJ852395 DNF852392:DNF852395 DXB852392:DXB852395 EGX852392:EGX852395 EQT852392:EQT852395 FAP852392:FAP852395 FKL852392:FKL852395 FUH852392:FUH852395 GED852392:GED852395 GNZ852392:GNZ852395 GXV852392:GXV852395 HHR852392:HHR852395 HRN852392:HRN852395 IBJ852392:IBJ852395 ILF852392:ILF852395 IVB852392:IVB852395 JEX852392:JEX852395 JOT852392:JOT852395 JYP852392:JYP852395 KIL852392:KIL852395 KSH852392:KSH852395 LCD852392:LCD852395 LLZ852392:LLZ852395 LVV852392:LVV852395 MFR852392:MFR852395 MPN852392:MPN852395 MZJ852392:MZJ852395 NJF852392:NJF852395 NTB852392:NTB852395 OCX852392:OCX852395 OMT852392:OMT852395 OWP852392:OWP852395 PGL852392:PGL852395 PQH852392:PQH852395 QAD852392:QAD852395 QJZ852392:QJZ852395 QTV852392:QTV852395 RDR852392:RDR852395 RNN852392:RNN852395 RXJ852392:RXJ852395 SHF852392:SHF852395 SRB852392:SRB852395 TAX852392:TAX852395 TKT852392:TKT852395 TUP852392:TUP852395 UEL852392:UEL852395 UOH852392:UOH852395 UYD852392:UYD852395 VHZ852392:VHZ852395 VRV852392:VRV852395 WBR852392:WBR852395 WLN852392:WLN852395 WVJ852392:WVJ852395 B917928:B917931 IX917928:IX917931 ST917928:ST917931 ACP917928:ACP917931 AML917928:AML917931 AWH917928:AWH917931 BGD917928:BGD917931 BPZ917928:BPZ917931 BZV917928:BZV917931 CJR917928:CJR917931 CTN917928:CTN917931 DDJ917928:DDJ917931 DNF917928:DNF917931 DXB917928:DXB917931 EGX917928:EGX917931 EQT917928:EQT917931 FAP917928:FAP917931 FKL917928:FKL917931 FUH917928:FUH917931 GED917928:GED917931 GNZ917928:GNZ917931 GXV917928:GXV917931 HHR917928:HHR917931 HRN917928:HRN917931 IBJ917928:IBJ917931 ILF917928:ILF917931 IVB917928:IVB917931 JEX917928:JEX917931 JOT917928:JOT917931 JYP917928:JYP917931 KIL917928:KIL917931 KSH917928:KSH917931 LCD917928:LCD917931 LLZ917928:LLZ917931 LVV917928:LVV917931 MFR917928:MFR917931 MPN917928:MPN917931 MZJ917928:MZJ917931 NJF917928:NJF917931 NTB917928:NTB917931 OCX917928:OCX917931 OMT917928:OMT917931 OWP917928:OWP917931 PGL917928:PGL917931 PQH917928:PQH917931 QAD917928:QAD917931 QJZ917928:QJZ917931 QTV917928:QTV917931 RDR917928:RDR917931 RNN917928:RNN917931 RXJ917928:RXJ917931 SHF917928:SHF917931 SRB917928:SRB917931 TAX917928:TAX917931 TKT917928:TKT917931 TUP917928:TUP917931 UEL917928:UEL917931 UOH917928:UOH917931 UYD917928:UYD917931 VHZ917928:VHZ917931 VRV917928:VRV917931 WBR917928:WBR917931 WLN917928:WLN917931 WVJ917928:WVJ917931 B983464:B983467 IX983464:IX983467 ST983464:ST983467 ACP983464:ACP983467 AML983464:AML983467 AWH983464:AWH983467 BGD983464:BGD983467 BPZ983464:BPZ983467 BZV983464:BZV983467 CJR983464:CJR983467 CTN983464:CTN983467 DDJ983464:DDJ983467 DNF983464:DNF983467 DXB983464:DXB983467 EGX983464:EGX983467 EQT983464:EQT983467 FAP983464:FAP983467 FKL983464:FKL983467 FUH983464:FUH983467 GED983464:GED983467 GNZ983464:GNZ983467 GXV983464:GXV983467 HHR983464:HHR983467 HRN983464:HRN983467 IBJ983464:IBJ983467 ILF983464:ILF983467 IVB983464:IVB983467 JEX983464:JEX983467 JOT983464:JOT983467 JYP983464:JYP983467 KIL983464:KIL983467 KSH983464:KSH983467 LCD983464:LCD983467 LLZ983464:LLZ983467 LVV983464:LVV983467 MFR983464:MFR983467 MPN983464:MPN983467 MZJ983464:MZJ983467 NJF983464:NJF983467 NTB983464:NTB983467 OCX983464:OCX983467 OMT983464:OMT983467 OWP983464:OWP983467 PGL983464:PGL983467 PQH983464:PQH983467 QAD983464:QAD983467 QJZ983464:QJZ983467 QTV983464:QTV983467 RDR983464:RDR983467 RNN983464:RNN983467 RXJ983464:RXJ983467 SHF983464:SHF983467 SRB983464:SRB983467 TAX983464:TAX983467 TKT983464:TKT983467 TUP983464:TUP983467 UEL983464:UEL983467 UOH983464:UOH983467 UYD983464:UYD983467 VHZ983464:VHZ983467 VRV983464:VRV983467 WBR983464:WBR983467 WLN983464:WLN983467 WVJ983464:WVJ983467 B65976:B65981 IX65976:IX65981 ST65976:ST65981 ACP65976:ACP65981 AML65976:AML65981 AWH65976:AWH65981 BGD65976:BGD65981 BPZ65976:BPZ65981 BZV65976:BZV65981 CJR65976:CJR65981 CTN65976:CTN65981 DDJ65976:DDJ65981 DNF65976:DNF65981 DXB65976:DXB65981 EGX65976:EGX65981 EQT65976:EQT65981 FAP65976:FAP65981 FKL65976:FKL65981 FUH65976:FUH65981 GED65976:GED65981 GNZ65976:GNZ65981 GXV65976:GXV65981 HHR65976:HHR65981 HRN65976:HRN65981 IBJ65976:IBJ65981 ILF65976:ILF65981 IVB65976:IVB65981 JEX65976:JEX65981 JOT65976:JOT65981 JYP65976:JYP65981 KIL65976:KIL65981 KSH65976:KSH65981 LCD65976:LCD65981 LLZ65976:LLZ65981 LVV65976:LVV65981 MFR65976:MFR65981 MPN65976:MPN65981 MZJ65976:MZJ65981 NJF65976:NJF65981 NTB65976:NTB65981 OCX65976:OCX65981 OMT65976:OMT65981 OWP65976:OWP65981 PGL65976:PGL65981 PQH65976:PQH65981 QAD65976:QAD65981 QJZ65976:QJZ65981 QTV65976:QTV65981 RDR65976:RDR65981 RNN65976:RNN65981 RXJ65976:RXJ65981 SHF65976:SHF65981 SRB65976:SRB65981 TAX65976:TAX65981 TKT65976:TKT65981 TUP65976:TUP65981 UEL65976:UEL65981 UOH65976:UOH65981 UYD65976:UYD65981 VHZ65976:VHZ65981 VRV65976:VRV65981 WBR65976:WBR65981 WLN65976:WLN65981 WVJ65976:WVJ65981 B131512:B131517 IX131512:IX131517 ST131512:ST131517 ACP131512:ACP131517 AML131512:AML131517 AWH131512:AWH131517 BGD131512:BGD131517 BPZ131512:BPZ131517 BZV131512:BZV131517 CJR131512:CJR131517 CTN131512:CTN131517 DDJ131512:DDJ131517 DNF131512:DNF131517 DXB131512:DXB131517 EGX131512:EGX131517 EQT131512:EQT131517 FAP131512:FAP131517 FKL131512:FKL131517 FUH131512:FUH131517 GED131512:GED131517 GNZ131512:GNZ131517 GXV131512:GXV131517 HHR131512:HHR131517 HRN131512:HRN131517 IBJ131512:IBJ131517 ILF131512:ILF131517 IVB131512:IVB131517 JEX131512:JEX131517 JOT131512:JOT131517 JYP131512:JYP131517 KIL131512:KIL131517 KSH131512:KSH131517 LCD131512:LCD131517 LLZ131512:LLZ131517 LVV131512:LVV131517 MFR131512:MFR131517 MPN131512:MPN131517 MZJ131512:MZJ131517 NJF131512:NJF131517 NTB131512:NTB131517 OCX131512:OCX131517 OMT131512:OMT131517 OWP131512:OWP131517 PGL131512:PGL131517 PQH131512:PQH131517 QAD131512:QAD131517 QJZ131512:QJZ131517 QTV131512:QTV131517 RDR131512:RDR131517 RNN131512:RNN131517 RXJ131512:RXJ131517 SHF131512:SHF131517 SRB131512:SRB131517 TAX131512:TAX131517 TKT131512:TKT131517 TUP131512:TUP131517 UEL131512:UEL131517 UOH131512:UOH131517 UYD131512:UYD131517 VHZ131512:VHZ131517 VRV131512:VRV131517 WBR131512:WBR131517 WLN131512:WLN131517 WVJ131512:WVJ131517 B197048:B197053 IX197048:IX197053 ST197048:ST197053 ACP197048:ACP197053 AML197048:AML197053 AWH197048:AWH197053 BGD197048:BGD197053 BPZ197048:BPZ197053 BZV197048:BZV197053 CJR197048:CJR197053 CTN197048:CTN197053 DDJ197048:DDJ197053 DNF197048:DNF197053 DXB197048:DXB197053 EGX197048:EGX197053 EQT197048:EQT197053 FAP197048:FAP197053 FKL197048:FKL197053 FUH197048:FUH197053 GED197048:GED197053 GNZ197048:GNZ197053 GXV197048:GXV197053 HHR197048:HHR197053 HRN197048:HRN197053 IBJ197048:IBJ197053 ILF197048:ILF197053 IVB197048:IVB197053 JEX197048:JEX197053 JOT197048:JOT197053 JYP197048:JYP197053 KIL197048:KIL197053 KSH197048:KSH197053 LCD197048:LCD197053 LLZ197048:LLZ197053 LVV197048:LVV197053 MFR197048:MFR197053 MPN197048:MPN197053 MZJ197048:MZJ197053 NJF197048:NJF197053 NTB197048:NTB197053 OCX197048:OCX197053 OMT197048:OMT197053 OWP197048:OWP197053 PGL197048:PGL197053 PQH197048:PQH197053 QAD197048:QAD197053 QJZ197048:QJZ197053 QTV197048:QTV197053 RDR197048:RDR197053 RNN197048:RNN197053 RXJ197048:RXJ197053 SHF197048:SHF197053 SRB197048:SRB197053 TAX197048:TAX197053 TKT197048:TKT197053 TUP197048:TUP197053 UEL197048:UEL197053 UOH197048:UOH197053 UYD197048:UYD197053 VHZ197048:VHZ197053 VRV197048:VRV197053 WBR197048:WBR197053 WLN197048:WLN197053 WVJ197048:WVJ197053 B262584:B262589 IX262584:IX262589 ST262584:ST262589 ACP262584:ACP262589 AML262584:AML262589 AWH262584:AWH262589 BGD262584:BGD262589 BPZ262584:BPZ262589 BZV262584:BZV262589 CJR262584:CJR262589 CTN262584:CTN262589 DDJ262584:DDJ262589 DNF262584:DNF262589 DXB262584:DXB262589 EGX262584:EGX262589 EQT262584:EQT262589 FAP262584:FAP262589 FKL262584:FKL262589 FUH262584:FUH262589 GED262584:GED262589 GNZ262584:GNZ262589 GXV262584:GXV262589 HHR262584:HHR262589 HRN262584:HRN262589 IBJ262584:IBJ262589 ILF262584:ILF262589 IVB262584:IVB262589 JEX262584:JEX262589 JOT262584:JOT262589 JYP262584:JYP262589 KIL262584:KIL262589 KSH262584:KSH262589 LCD262584:LCD262589 LLZ262584:LLZ262589 LVV262584:LVV262589 MFR262584:MFR262589 MPN262584:MPN262589 MZJ262584:MZJ262589 NJF262584:NJF262589 NTB262584:NTB262589 OCX262584:OCX262589 OMT262584:OMT262589 OWP262584:OWP262589 PGL262584:PGL262589 PQH262584:PQH262589 QAD262584:QAD262589 QJZ262584:QJZ262589 QTV262584:QTV262589 RDR262584:RDR262589 RNN262584:RNN262589 RXJ262584:RXJ262589 SHF262584:SHF262589 SRB262584:SRB262589 TAX262584:TAX262589 TKT262584:TKT262589 TUP262584:TUP262589 UEL262584:UEL262589 UOH262584:UOH262589 UYD262584:UYD262589 VHZ262584:VHZ262589 VRV262584:VRV262589 WBR262584:WBR262589 WLN262584:WLN262589 WVJ262584:WVJ262589 B328120:B328125 IX328120:IX328125 ST328120:ST328125 ACP328120:ACP328125 AML328120:AML328125 AWH328120:AWH328125 BGD328120:BGD328125 BPZ328120:BPZ328125 BZV328120:BZV328125 CJR328120:CJR328125 CTN328120:CTN328125 DDJ328120:DDJ328125 DNF328120:DNF328125 DXB328120:DXB328125 EGX328120:EGX328125 EQT328120:EQT328125 FAP328120:FAP328125 FKL328120:FKL328125 FUH328120:FUH328125 GED328120:GED328125 GNZ328120:GNZ328125 GXV328120:GXV328125 HHR328120:HHR328125 HRN328120:HRN328125 IBJ328120:IBJ328125 ILF328120:ILF328125 IVB328120:IVB328125 JEX328120:JEX328125 JOT328120:JOT328125 JYP328120:JYP328125 KIL328120:KIL328125 KSH328120:KSH328125 LCD328120:LCD328125 LLZ328120:LLZ328125 LVV328120:LVV328125 MFR328120:MFR328125 MPN328120:MPN328125 MZJ328120:MZJ328125 NJF328120:NJF328125 NTB328120:NTB328125 OCX328120:OCX328125 OMT328120:OMT328125 OWP328120:OWP328125 PGL328120:PGL328125 PQH328120:PQH328125 QAD328120:QAD328125 QJZ328120:QJZ328125 QTV328120:QTV328125 RDR328120:RDR328125 RNN328120:RNN328125 RXJ328120:RXJ328125 SHF328120:SHF328125 SRB328120:SRB328125 TAX328120:TAX328125 TKT328120:TKT328125 TUP328120:TUP328125 UEL328120:UEL328125 UOH328120:UOH328125 UYD328120:UYD328125 VHZ328120:VHZ328125 VRV328120:VRV328125 WBR328120:WBR328125 WLN328120:WLN328125 WVJ328120:WVJ328125 B393656:B393661 IX393656:IX393661 ST393656:ST393661 ACP393656:ACP393661 AML393656:AML393661 AWH393656:AWH393661 BGD393656:BGD393661 BPZ393656:BPZ393661 BZV393656:BZV393661 CJR393656:CJR393661 CTN393656:CTN393661 DDJ393656:DDJ393661 DNF393656:DNF393661 DXB393656:DXB393661 EGX393656:EGX393661 EQT393656:EQT393661 FAP393656:FAP393661 FKL393656:FKL393661 FUH393656:FUH393661 GED393656:GED393661 GNZ393656:GNZ393661 GXV393656:GXV393661 HHR393656:HHR393661 HRN393656:HRN393661 IBJ393656:IBJ393661 ILF393656:ILF393661 IVB393656:IVB393661 JEX393656:JEX393661 JOT393656:JOT393661 JYP393656:JYP393661 KIL393656:KIL393661 KSH393656:KSH393661 LCD393656:LCD393661 LLZ393656:LLZ393661 LVV393656:LVV393661 MFR393656:MFR393661 MPN393656:MPN393661 MZJ393656:MZJ393661 NJF393656:NJF393661 NTB393656:NTB393661 OCX393656:OCX393661 OMT393656:OMT393661 OWP393656:OWP393661 PGL393656:PGL393661 PQH393656:PQH393661 QAD393656:QAD393661 QJZ393656:QJZ393661 QTV393656:QTV393661 RDR393656:RDR393661 RNN393656:RNN393661 RXJ393656:RXJ393661 SHF393656:SHF393661 SRB393656:SRB393661 TAX393656:TAX393661 TKT393656:TKT393661 TUP393656:TUP393661 UEL393656:UEL393661 UOH393656:UOH393661 UYD393656:UYD393661 VHZ393656:VHZ393661 VRV393656:VRV393661 WBR393656:WBR393661 WLN393656:WLN393661 WVJ393656:WVJ393661 B459192:B459197 IX459192:IX459197 ST459192:ST459197 ACP459192:ACP459197 AML459192:AML459197 AWH459192:AWH459197 BGD459192:BGD459197 BPZ459192:BPZ459197 BZV459192:BZV459197 CJR459192:CJR459197 CTN459192:CTN459197 DDJ459192:DDJ459197 DNF459192:DNF459197 DXB459192:DXB459197 EGX459192:EGX459197 EQT459192:EQT459197 FAP459192:FAP459197 FKL459192:FKL459197 FUH459192:FUH459197 GED459192:GED459197 GNZ459192:GNZ459197 GXV459192:GXV459197 HHR459192:HHR459197 HRN459192:HRN459197 IBJ459192:IBJ459197 ILF459192:ILF459197 IVB459192:IVB459197 JEX459192:JEX459197 JOT459192:JOT459197 JYP459192:JYP459197 KIL459192:KIL459197 KSH459192:KSH459197 LCD459192:LCD459197 LLZ459192:LLZ459197 LVV459192:LVV459197 MFR459192:MFR459197 MPN459192:MPN459197 MZJ459192:MZJ459197 NJF459192:NJF459197 NTB459192:NTB459197 OCX459192:OCX459197 OMT459192:OMT459197 OWP459192:OWP459197 PGL459192:PGL459197 PQH459192:PQH459197 QAD459192:QAD459197 QJZ459192:QJZ459197 QTV459192:QTV459197 RDR459192:RDR459197 RNN459192:RNN459197 RXJ459192:RXJ459197 SHF459192:SHF459197 SRB459192:SRB459197 TAX459192:TAX459197 TKT459192:TKT459197 TUP459192:TUP459197 UEL459192:UEL459197 UOH459192:UOH459197 UYD459192:UYD459197 VHZ459192:VHZ459197 VRV459192:VRV459197 WBR459192:WBR459197 WLN459192:WLN459197 WVJ459192:WVJ459197 B524728:B524733 IX524728:IX524733 ST524728:ST524733 ACP524728:ACP524733 AML524728:AML524733 AWH524728:AWH524733 BGD524728:BGD524733 BPZ524728:BPZ524733 BZV524728:BZV524733 CJR524728:CJR524733 CTN524728:CTN524733 DDJ524728:DDJ524733 DNF524728:DNF524733 DXB524728:DXB524733 EGX524728:EGX524733 EQT524728:EQT524733 FAP524728:FAP524733 FKL524728:FKL524733 FUH524728:FUH524733 GED524728:GED524733 GNZ524728:GNZ524733 GXV524728:GXV524733 HHR524728:HHR524733 HRN524728:HRN524733 IBJ524728:IBJ524733 ILF524728:ILF524733 IVB524728:IVB524733 JEX524728:JEX524733 JOT524728:JOT524733 JYP524728:JYP524733 KIL524728:KIL524733 KSH524728:KSH524733 LCD524728:LCD524733 LLZ524728:LLZ524733 LVV524728:LVV524733 MFR524728:MFR524733 MPN524728:MPN524733 MZJ524728:MZJ524733 NJF524728:NJF524733 NTB524728:NTB524733 OCX524728:OCX524733 OMT524728:OMT524733 OWP524728:OWP524733 PGL524728:PGL524733 PQH524728:PQH524733 QAD524728:QAD524733 QJZ524728:QJZ524733 QTV524728:QTV524733 RDR524728:RDR524733 RNN524728:RNN524733 RXJ524728:RXJ524733 SHF524728:SHF524733 SRB524728:SRB524733 TAX524728:TAX524733 TKT524728:TKT524733 TUP524728:TUP524733 UEL524728:UEL524733 UOH524728:UOH524733 UYD524728:UYD524733 VHZ524728:VHZ524733 VRV524728:VRV524733 WBR524728:WBR524733 WLN524728:WLN524733 WVJ524728:WVJ524733 B590264:B590269 IX590264:IX590269 ST590264:ST590269 ACP590264:ACP590269 AML590264:AML590269 AWH590264:AWH590269 BGD590264:BGD590269 BPZ590264:BPZ590269 BZV590264:BZV590269 CJR590264:CJR590269 CTN590264:CTN590269 DDJ590264:DDJ590269 DNF590264:DNF590269 DXB590264:DXB590269 EGX590264:EGX590269 EQT590264:EQT590269 FAP590264:FAP590269 FKL590264:FKL590269 FUH590264:FUH590269 GED590264:GED590269 GNZ590264:GNZ590269 GXV590264:GXV590269 HHR590264:HHR590269 HRN590264:HRN590269 IBJ590264:IBJ590269 ILF590264:ILF590269 IVB590264:IVB590269 JEX590264:JEX590269 JOT590264:JOT590269 JYP590264:JYP590269 KIL590264:KIL590269 KSH590264:KSH590269 LCD590264:LCD590269 LLZ590264:LLZ590269 LVV590264:LVV590269 MFR590264:MFR590269 MPN590264:MPN590269 MZJ590264:MZJ590269 NJF590264:NJF590269 NTB590264:NTB590269 OCX590264:OCX590269 OMT590264:OMT590269 OWP590264:OWP590269 PGL590264:PGL590269 PQH590264:PQH590269 QAD590264:QAD590269 QJZ590264:QJZ590269 QTV590264:QTV590269 RDR590264:RDR590269 RNN590264:RNN590269 RXJ590264:RXJ590269 SHF590264:SHF590269 SRB590264:SRB590269 TAX590264:TAX590269 TKT590264:TKT590269 TUP590264:TUP590269 UEL590264:UEL590269 UOH590264:UOH590269 UYD590264:UYD590269 VHZ590264:VHZ590269 VRV590264:VRV590269 WBR590264:WBR590269 WLN590264:WLN590269 WVJ590264:WVJ590269 B655800:B655805 IX655800:IX655805 ST655800:ST655805 ACP655800:ACP655805 AML655800:AML655805 AWH655800:AWH655805 BGD655800:BGD655805 BPZ655800:BPZ655805 BZV655800:BZV655805 CJR655800:CJR655805 CTN655800:CTN655805 DDJ655800:DDJ655805 DNF655800:DNF655805 DXB655800:DXB655805 EGX655800:EGX655805 EQT655800:EQT655805 FAP655800:FAP655805 FKL655800:FKL655805 FUH655800:FUH655805 GED655800:GED655805 GNZ655800:GNZ655805 GXV655800:GXV655805 HHR655800:HHR655805 HRN655800:HRN655805 IBJ655800:IBJ655805 ILF655800:ILF655805 IVB655800:IVB655805 JEX655800:JEX655805 JOT655800:JOT655805 JYP655800:JYP655805 KIL655800:KIL655805 KSH655800:KSH655805 LCD655800:LCD655805 LLZ655800:LLZ655805 LVV655800:LVV655805 MFR655800:MFR655805 MPN655800:MPN655805 MZJ655800:MZJ655805 NJF655800:NJF655805 NTB655800:NTB655805 OCX655800:OCX655805 OMT655800:OMT655805 OWP655800:OWP655805 PGL655800:PGL655805 PQH655800:PQH655805 QAD655800:QAD655805 QJZ655800:QJZ655805 QTV655800:QTV655805 RDR655800:RDR655805 RNN655800:RNN655805 RXJ655800:RXJ655805 SHF655800:SHF655805 SRB655800:SRB655805 TAX655800:TAX655805 TKT655800:TKT655805 TUP655800:TUP655805 UEL655800:UEL655805 UOH655800:UOH655805 UYD655800:UYD655805 VHZ655800:VHZ655805 VRV655800:VRV655805 WBR655800:WBR655805 WLN655800:WLN655805 WVJ655800:WVJ655805 B721336:B721341 IX721336:IX721341 ST721336:ST721341 ACP721336:ACP721341 AML721336:AML721341 AWH721336:AWH721341 BGD721336:BGD721341 BPZ721336:BPZ721341 BZV721336:BZV721341 CJR721336:CJR721341 CTN721336:CTN721341 DDJ721336:DDJ721341 DNF721336:DNF721341 DXB721336:DXB721341 EGX721336:EGX721341 EQT721336:EQT721341 FAP721336:FAP721341 FKL721336:FKL721341 FUH721336:FUH721341 GED721336:GED721341 GNZ721336:GNZ721341 GXV721336:GXV721341 HHR721336:HHR721341 HRN721336:HRN721341 IBJ721336:IBJ721341 ILF721336:ILF721341 IVB721336:IVB721341 JEX721336:JEX721341 JOT721336:JOT721341 JYP721336:JYP721341 KIL721336:KIL721341 KSH721336:KSH721341 LCD721336:LCD721341 LLZ721336:LLZ721341 LVV721336:LVV721341 MFR721336:MFR721341 MPN721336:MPN721341 MZJ721336:MZJ721341 NJF721336:NJF721341 NTB721336:NTB721341 OCX721336:OCX721341 OMT721336:OMT721341 OWP721336:OWP721341 PGL721336:PGL721341 PQH721336:PQH721341 QAD721336:QAD721341 QJZ721336:QJZ721341 QTV721336:QTV721341 RDR721336:RDR721341 RNN721336:RNN721341 RXJ721336:RXJ721341 SHF721336:SHF721341 SRB721336:SRB721341 TAX721336:TAX721341 TKT721336:TKT721341 TUP721336:TUP721341 UEL721336:UEL721341 UOH721336:UOH721341 UYD721336:UYD721341 VHZ721336:VHZ721341 VRV721336:VRV721341 WBR721336:WBR721341 WLN721336:WLN721341 WVJ721336:WVJ721341 B786872:B786877 IX786872:IX786877 ST786872:ST786877 ACP786872:ACP786877 AML786872:AML786877 AWH786872:AWH786877 BGD786872:BGD786877 BPZ786872:BPZ786877 BZV786872:BZV786877 CJR786872:CJR786877 CTN786872:CTN786877 DDJ786872:DDJ786877 DNF786872:DNF786877 DXB786872:DXB786877 EGX786872:EGX786877 EQT786872:EQT786877 FAP786872:FAP786877 FKL786872:FKL786877 FUH786872:FUH786877 GED786872:GED786877 GNZ786872:GNZ786877 GXV786872:GXV786877 HHR786872:HHR786877 HRN786872:HRN786877 IBJ786872:IBJ786877 ILF786872:ILF786877 IVB786872:IVB786877 JEX786872:JEX786877 JOT786872:JOT786877 JYP786872:JYP786877 KIL786872:KIL786877 KSH786872:KSH786877 LCD786872:LCD786877 LLZ786872:LLZ786877 LVV786872:LVV786877 MFR786872:MFR786877 MPN786872:MPN786877 MZJ786872:MZJ786877 NJF786872:NJF786877 NTB786872:NTB786877 OCX786872:OCX786877 OMT786872:OMT786877 OWP786872:OWP786877 PGL786872:PGL786877 PQH786872:PQH786877 QAD786872:QAD786877 QJZ786872:QJZ786877 QTV786872:QTV786877 RDR786872:RDR786877 RNN786872:RNN786877 RXJ786872:RXJ786877 SHF786872:SHF786877 SRB786872:SRB786877 TAX786872:TAX786877 TKT786872:TKT786877 TUP786872:TUP786877 UEL786872:UEL786877 UOH786872:UOH786877 UYD786872:UYD786877 VHZ786872:VHZ786877 VRV786872:VRV786877 WBR786872:WBR786877 WLN786872:WLN786877 WVJ786872:WVJ786877 B852408:B852413 IX852408:IX852413 ST852408:ST852413 ACP852408:ACP852413 AML852408:AML852413 AWH852408:AWH852413 BGD852408:BGD852413 BPZ852408:BPZ852413 BZV852408:BZV852413 CJR852408:CJR852413 CTN852408:CTN852413 DDJ852408:DDJ852413 DNF852408:DNF852413 DXB852408:DXB852413 EGX852408:EGX852413 EQT852408:EQT852413 FAP852408:FAP852413 FKL852408:FKL852413 FUH852408:FUH852413 GED852408:GED852413 GNZ852408:GNZ852413 GXV852408:GXV852413 HHR852408:HHR852413 HRN852408:HRN852413 IBJ852408:IBJ852413 ILF852408:ILF852413 IVB852408:IVB852413 JEX852408:JEX852413 JOT852408:JOT852413 JYP852408:JYP852413 KIL852408:KIL852413 KSH852408:KSH852413 LCD852408:LCD852413 LLZ852408:LLZ852413 LVV852408:LVV852413 MFR852408:MFR852413 MPN852408:MPN852413 MZJ852408:MZJ852413 NJF852408:NJF852413 NTB852408:NTB852413 OCX852408:OCX852413 OMT852408:OMT852413 OWP852408:OWP852413 PGL852408:PGL852413 PQH852408:PQH852413 QAD852408:QAD852413 QJZ852408:QJZ852413 QTV852408:QTV852413 RDR852408:RDR852413 RNN852408:RNN852413 RXJ852408:RXJ852413 SHF852408:SHF852413 SRB852408:SRB852413 TAX852408:TAX852413 TKT852408:TKT852413 TUP852408:TUP852413 UEL852408:UEL852413 UOH852408:UOH852413 UYD852408:UYD852413 VHZ852408:VHZ852413 VRV852408:VRV852413 WBR852408:WBR852413 WLN852408:WLN852413 WVJ852408:WVJ852413 B917944:B917949 IX917944:IX917949 ST917944:ST917949 ACP917944:ACP917949 AML917944:AML917949 AWH917944:AWH917949 BGD917944:BGD917949 BPZ917944:BPZ917949 BZV917944:BZV917949 CJR917944:CJR917949 CTN917944:CTN917949 DDJ917944:DDJ917949 DNF917944:DNF917949 DXB917944:DXB917949 EGX917944:EGX917949 EQT917944:EQT917949 FAP917944:FAP917949 FKL917944:FKL917949 FUH917944:FUH917949 GED917944:GED917949 GNZ917944:GNZ917949 GXV917944:GXV917949 HHR917944:HHR917949 HRN917944:HRN917949 IBJ917944:IBJ917949 ILF917944:ILF917949 IVB917944:IVB917949 JEX917944:JEX917949 JOT917944:JOT917949 JYP917944:JYP917949 KIL917944:KIL917949 KSH917944:KSH917949 LCD917944:LCD917949 LLZ917944:LLZ917949 LVV917944:LVV917949 MFR917944:MFR917949 MPN917944:MPN917949 MZJ917944:MZJ917949 NJF917944:NJF917949 NTB917944:NTB917949 OCX917944:OCX917949 OMT917944:OMT917949 OWP917944:OWP917949 PGL917944:PGL917949 PQH917944:PQH917949 QAD917944:QAD917949 QJZ917944:QJZ917949 QTV917944:QTV917949 RDR917944:RDR917949 RNN917944:RNN917949 RXJ917944:RXJ917949 SHF917944:SHF917949 SRB917944:SRB917949 TAX917944:TAX917949 TKT917944:TKT917949 TUP917944:TUP917949 UEL917944:UEL917949 UOH917944:UOH917949 UYD917944:UYD917949 VHZ917944:VHZ917949 VRV917944:VRV917949 WBR917944:WBR917949 WLN917944:WLN917949 WVJ917944:WVJ917949 B983480:B983485 IX983480:IX983485 ST983480:ST983485 ACP983480:ACP983485 AML983480:AML983485 AWH983480:AWH983485 BGD983480:BGD983485 BPZ983480:BPZ983485 BZV983480:BZV983485 CJR983480:CJR983485 CTN983480:CTN983485 DDJ983480:DDJ983485 DNF983480:DNF983485 DXB983480:DXB983485 EGX983480:EGX983485 EQT983480:EQT983485 FAP983480:FAP983485 FKL983480:FKL983485 FUH983480:FUH983485 GED983480:GED983485 GNZ983480:GNZ983485 GXV983480:GXV983485 HHR983480:HHR983485 HRN983480:HRN983485 IBJ983480:IBJ983485 ILF983480:ILF983485 IVB983480:IVB983485 JEX983480:JEX983485 JOT983480:JOT983485 JYP983480:JYP983485 KIL983480:KIL983485 KSH983480:KSH983485 LCD983480:LCD983485 LLZ983480:LLZ983485 LVV983480:LVV983485 MFR983480:MFR983485 MPN983480:MPN983485 MZJ983480:MZJ983485 NJF983480:NJF983485 NTB983480:NTB983485 OCX983480:OCX983485 OMT983480:OMT983485 OWP983480:OWP983485 PGL983480:PGL983485 PQH983480:PQH983485 QAD983480:QAD983485 QJZ983480:QJZ983485 QTV983480:QTV983485 RDR983480:RDR983485 RNN983480:RNN983485 RXJ983480:RXJ983485 SHF983480:SHF983485 SRB983480:SRB983485 TAX983480:TAX983485 TKT983480:TKT983485 TUP983480:TUP983485 UEL983480:UEL983485 UOH983480:UOH983485 UYD983480:UYD983485 VHZ983480:VHZ983485 VRV983480:VRV983485 WBR983480:WBR983485 WLN983480:WLN983485 WVJ983480:WVJ983485 B153:B155 B66116:B66117 IX66116:IX66117 ST66116:ST66117 ACP66116:ACP66117 AML66116:AML66117 AWH66116:AWH66117 BGD66116:BGD66117 BPZ66116:BPZ66117 BZV66116:BZV66117 CJR66116:CJR66117 CTN66116:CTN66117 DDJ66116:DDJ66117 DNF66116:DNF66117 DXB66116:DXB66117 EGX66116:EGX66117 EQT66116:EQT66117 FAP66116:FAP66117 FKL66116:FKL66117 FUH66116:FUH66117 GED66116:GED66117 GNZ66116:GNZ66117 GXV66116:GXV66117 HHR66116:HHR66117 HRN66116:HRN66117 IBJ66116:IBJ66117 ILF66116:ILF66117 IVB66116:IVB66117 JEX66116:JEX66117 JOT66116:JOT66117 JYP66116:JYP66117 KIL66116:KIL66117 KSH66116:KSH66117 LCD66116:LCD66117 LLZ66116:LLZ66117 LVV66116:LVV66117 MFR66116:MFR66117 MPN66116:MPN66117 MZJ66116:MZJ66117 NJF66116:NJF66117 NTB66116:NTB66117 OCX66116:OCX66117 OMT66116:OMT66117 OWP66116:OWP66117 PGL66116:PGL66117 PQH66116:PQH66117 QAD66116:QAD66117 QJZ66116:QJZ66117 QTV66116:QTV66117 RDR66116:RDR66117 RNN66116:RNN66117 RXJ66116:RXJ66117 SHF66116:SHF66117 SRB66116:SRB66117 TAX66116:TAX66117 TKT66116:TKT66117 TUP66116:TUP66117 UEL66116:UEL66117 UOH66116:UOH66117 UYD66116:UYD66117 VHZ66116:VHZ66117 VRV66116:VRV66117 WBR66116:WBR66117 WLN66116:WLN66117 WVJ66116:WVJ66117 B131652:B131653 IX131652:IX131653 ST131652:ST131653 ACP131652:ACP131653 AML131652:AML131653 AWH131652:AWH131653 BGD131652:BGD131653 BPZ131652:BPZ131653 BZV131652:BZV131653 CJR131652:CJR131653 CTN131652:CTN131653 DDJ131652:DDJ131653 DNF131652:DNF131653 DXB131652:DXB131653 EGX131652:EGX131653 EQT131652:EQT131653 FAP131652:FAP131653 FKL131652:FKL131653 FUH131652:FUH131653 GED131652:GED131653 GNZ131652:GNZ131653 GXV131652:GXV131653 HHR131652:HHR131653 HRN131652:HRN131653 IBJ131652:IBJ131653 ILF131652:ILF131653 IVB131652:IVB131653 JEX131652:JEX131653 JOT131652:JOT131653 JYP131652:JYP131653 KIL131652:KIL131653 KSH131652:KSH131653 LCD131652:LCD131653 LLZ131652:LLZ131653 LVV131652:LVV131653 MFR131652:MFR131653 MPN131652:MPN131653 MZJ131652:MZJ131653 NJF131652:NJF131653 NTB131652:NTB131653 OCX131652:OCX131653 OMT131652:OMT131653 OWP131652:OWP131653 PGL131652:PGL131653 PQH131652:PQH131653 QAD131652:QAD131653 QJZ131652:QJZ131653 QTV131652:QTV131653 RDR131652:RDR131653 RNN131652:RNN131653 RXJ131652:RXJ131653 SHF131652:SHF131653 SRB131652:SRB131653 TAX131652:TAX131653 TKT131652:TKT131653 TUP131652:TUP131653 UEL131652:UEL131653 UOH131652:UOH131653 UYD131652:UYD131653 VHZ131652:VHZ131653 VRV131652:VRV131653 WBR131652:WBR131653 WLN131652:WLN131653 WVJ131652:WVJ131653 B197188:B197189 IX197188:IX197189 ST197188:ST197189 ACP197188:ACP197189 AML197188:AML197189 AWH197188:AWH197189 BGD197188:BGD197189 BPZ197188:BPZ197189 BZV197188:BZV197189 CJR197188:CJR197189 CTN197188:CTN197189 DDJ197188:DDJ197189 DNF197188:DNF197189 DXB197188:DXB197189 EGX197188:EGX197189 EQT197188:EQT197189 FAP197188:FAP197189 FKL197188:FKL197189 FUH197188:FUH197189 GED197188:GED197189 GNZ197188:GNZ197189 GXV197188:GXV197189 HHR197188:HHR197189 HRN197188:HRN197189 IBJ197188:IBJ197189 ILF197188:ILF197189 IVB197188:IVB197189 JEX197188:JEX197189 JOT197188:JOT197189 JYP197188:JYP197189 KIL197188:KIL197189 KSH197188:KSH197189 LCD197188:LCD197189 LLZ197188:LLZ197189 LVV197188:LVV197189 MFR197188:MFR197189 MPN197188:MPN197189 MZJ197188:MZJ197189 NJF197188:NJF197189 NTB197188:NTB197189 OCX197188:OCX197189 OMT197188:OMT197189 OWP197188:OWP197189 PGL197188:PGL197189 PQH197188:PQH197189 QAD197188:QAD197189 QJZ197188:QJZ197189 QTV197188:QTV197189 RDR197188:RDR197189 RNN197188:RNN197189 RXJ197188:RXJ197189 SHF197188:SHF197189 SRB197188:SRB197189 TAX197188:TAX197189 TKT197188:TKT197189 TUP197188:TUP197189 UEL197188:UEL197189 UOH197188:UOH197189 UYD197188:UYD197189 VHZ197188:VHZ197189 VRV197188:VRV197189 WBR197188:WBR197189 WLN197188:WLN197189 WVJ197188:WVJ197189 B262724:B262725 IX262724:IX262725 ST262724:ST262725 ACP262724:ACP262725 AML262724:AML262725 AWH262724:AWH262725 BGD262724:BGD262725 BPZ262724:BPZ262725 BZV262724:BZV262725 CJR262724:CJR262725 CTN262724:CTN262725 DDJ262724:DDJ262725 DNF262724:DNF262725 DXB262724:DXB262725 EGX262724:EGX262725 EQT262724:EQT262725 FAP262724:FAP262725 FKL262724:FKL262725 FUH262724:FUH262725 GED262724:GED262725 GNZ262724:GNZ262725 GXV262724:GXV262725 HHR262724:HHR262725 HRN262724:HRN262725 IBJ262724:IBJ262725 ILF262724:ILF262725 IVB262724:IVB262725 JEX262724:JEX262725 JOT262724:JOT262725 JYP262724:JYP262725 KIL262724:KIL262725 KSH262724:KSH262725 LCD262724:LCD262725 LLZ262724:LLZ262725 LVV262724:LVV262725 MFR262724:MFR262725 MPN262724:MPN262725 MZJ262724:MZJ262725 NJF262724:NJF262725 NTB262724:NTB262725 OCX262724:OCX262725 OMT262724:OMT262725 OWP262724:OWP262725 PGL262724:PGL262725 PQH262724:PQH262725 QAD262724:QAD262725 QJZ262724:QJZ262725 QTV262724:QTV262725 RDR262724:RDR262725 RNN262724:RNN262725 RXJ262724:RXJ262725 SHF262724:SHF262725 SRB262724:SRB262725 TAX262724:TAX262725 TKT262724:TKT262725 TUP262724:TUP262725 UEL262724:UEL262725 UOH262724:UOH262725 UYD262724:UYD262725 VHZ262724:VHZ262725 VRV262724:VRV262725 WBR262724:WBR262725 WLN262724:WLN262725 WVJ262724:WVJ262725 B328260:B328261 IX328260:IX328261 ST328260:ST328261 ACP328260:ACP328261 AML328260:AML328261 AWH328260:AWH328261 BGD328260:BGD328261 BPZ328260:BPZ328261 BZV328260:BZV328261 CJR328260:CJR328261 CTN328260:CTN328261 DDJ328260:DDJ328261 DNF328260:DNF328261 DXB328260:DXB328261 EGX328260:EGX328261 EQT328260:EQT328261 FAP328260:FAP328261 FKL328260:FKL328261 FUH328260:FUH328261 GED328260:GED328261 GNZ328260:GNZ328261 GXV328260:GXV328261 HHR328260:HHR328261 HRN328260:HRN328261 IBJ328260:IBJ328261 ILF328260:ILF328261 IVB328260:IVB328261 JEX328260:JEX328261 JOT328260:JOT328261 JYP328260:JYP328261 KIL328260:KIL328261 KSH328260:KSH328261 LCD328260:LCD328261 LLZ328260:LLZ328261 LVV328260:LVV328261 MFR328260:MFR328261 MPN328260:MPN328261 MZJ328260:MZJ328261 NJF328260:NJF328261 NTB328260:NTB328261 OCX328260:OCX328261 OMT328260:OMT328261 OWP328260:OWP328261 PGL328260:PGL328261 PQH328260:PQH328261 QAD328260:QAD328261 QJZ328260:QJZ328261 QTV328260:QTV328261 RDR328260:RDR328261 RNN328260:RNN328261 RXJ328260:RXJ328261 SHF328260:SHF328261 SRB328260:SRB328261 TAX328260:TAX328261 TKT328260:TKT328261 TUP328260:TUP328261 UEL328260:UEL328261 UOH328260:UOH328261 UYD328260:UYD328261 VHZ328260:VHZ328261 VRV328260:VRV328261 WBR328260:WBR328261 WLN328260:WLN328261 WVJ328260:WVJ328261 B393796:B393797 IX393796:IX393797 ST393796:ST393797 ACP393796:ACP393797 AML393796:AML393797 AWH393796:AWH393797 BGD393796:BGD393797 BPZ393796:BPZ393797 BZV393796:BZV393797 CJR393796:CJR393797 CTN393796:CTN393797 DDJ393796:DDJ393797 DNF393796:DNF393797 DXB393796:DXB393797 EGX393796:EGX393797 EQT393796:EQT393797 FAP393796:FAP393797 FKL393796:FKL393797 FUH393796:FUH393797 GED393796:GED393797 GNZ393796:GNZ393797 GXV393796:GXV393797 HHR393796:HHR393797 HRN393796:HRN393797 IBJ393796:IBJ393797 ILF393796:ILF393797 IVB393796:IVB393797 JEX393796:JEX393797 JOT393796:JOT393797 JYP393796:JYP393797 KIL393796:KIL393797 KSH393796:KSH393797 LCD393796:LCD393797 LLZ393796:LLZ393797 LVV393796:LVV393797 MFR393796:MFR393797 MPN393796:MPN393797 MZJ393796:MZJ393797 NJF393796:NJF393797 NTB393796:NTB393797 OCX393796:OCX393797 OMT393796:OMT393797 OWP393796:OWP393797 PGL393796:PGL393797 PQH393796:PQH393797 QAD393796:QAD393797 QJZ393796:QJZ393797 QTV393796:QTV393797 RDR393796:RDR393797 RNN393796:RNN393797 RXJ393796:RXJ393797 SHF393796:SHF393797 SRB393796:SRB393797 TAX393796:TAX393797 TKT393796:TKT393797 TUP393796:TUP393797 UEL393796:UEL393797 UOH393796:UOH393797 UYD393796:UYD393797 VHZ393796:VHZ393797 VRV393796:VRV393797 WBR393796:WBR393797 WLN393796:WLN393797 WVJ393796:WVJ393797 B459332:B459333 IX459332:IX459333 ST459332:ST459333 ACP459332:ACP459333 AML459332:AML459333 AWH459332:AWH459333 BGD459332:BGD459333 BPZ459332:BPZ459333 BZV459332:BZV459333 CJR459332:CJR459333 CTN459332:CTN459333 DDJ459332:DDJ459333 DNF459332:DNF459333 DXB459332:DXB459333 EGX459332:EGX459333 EQT459332:EQT459333 FAP459332:FAP459333 FKL459332:FKL459333 FUH459332:FUH459333 GED459332:GED459333 GNZ459332:GNZ459333 GXV459332:GXV459333 HHR459332:HHR459333 HRN459332:HRN459333 IBJ459332:IBJ459333 ILF459332:ILF459333 IVB459332:IVB459333 JEX459332:JEX459333 JOT459332:JOT459333 JYP459332:JYP459333 KIL459332:KIL459333 KSH459332:KSH459333 LCD459332:LCD459333 LLZ459332:LLZ459333 LVV459332:LVV459333 MFR459332:MFR459333 MPN459332:MPN459333 MZJ459332:MZJ459333 NJF459332:NJF459333 NTB459332:NTB459333 OCX459332:OCX459333 OMT459332:OMT459333 OWP459332:OWP459333 PGL459332:PGL459333 PQH459332:PQH459333 QAD459332:QAD459333 QJZ459332:QJZ459333 QTV459332:QTV459333 RDR459332:RDR459333 RNN459332:RNN459333 RXJ459332:RXJ459333 SHF459332:SHF459333 SRB459332:SRB459333 TAX459332:TAX459333 TKT459332:TKT459333 TUP459332:TUP459333 UEL459332:UEL459333 UOH459332:UOH459333 UYD459332:UYD459333 VHZ459332:VHZ459333 VRV459332:VRV459333 WBR459332:WBR459333 WLN459332:WLN459333 WVJ459332:WVJ459333 B524868:B524869 IX524868:IX524869 ST524868:ST524869 ACP524868:ACP524869 AML524868:AML524869 AWH524868:AWH524869 BGD524868:BGD524869 BPZ524868:BPZ524869 BZV524868:BZV524869 CJR524868:CJR524869 CTN524868:CTN524869 DDJ524868:DDJ524869 DNF524868:DNF524869 DXB524868:DXB524869 EGX524868:EGX524869 EQT524868:EQT524869 FAP524868:FAP524869 FKL524868:FKL524869 FUH524868:FUH524869 GED524868:GED524869 GNZ524868:GNZ524869 GXV524868:GXV524869 HHR524868:HHR524869 HRN524868:HRN524869 IBJ524868:IBJ524869 ILF524868:ILF524869 IVB524868:IVB524869 JEX524868:JEX524869 JOT524868:JOT524869 JYP524868:JYP524869 KIL524868:KIL524869 KSH524868:KSH524869 LCD524868:LCD524869 LLZ524868:LLZ524869 LVV524868:LVV524869 MFR524868:MFR524869 MPN524868:MPN524869 MZJ524868:MZJ524869 NJF524868:NJF524869 NTB524868:NTB524869 OCX524868:OCX524869 OMT524868:OMT524869 OWP524868:OWP524869 PGL524868:PGL524869 PQH524868:PQH524869 QAD524868:QAD524869 QJZ524868:QJZ524869 QTV524868:QTV524869 RDR524868:RDR524869 RNN524868:RNN524869 RXJ524868:RXJ524869 SHF524868:SHF524869 SRB524868:SRB524869 TAX524868:TAX524869 TKT524868:TKT524869 TUP524868:TUP524869 UEL524868:UEL524869 UOH524868:UOH524869 UYD524868:UYD524869 VHZ524868:VHZ524869 VRV524868:VRV524869 WBR524868:WBR524869 WLN524868:WLN524869 WVJ524868:WVJ524869 B590404:B590405 IX590404:IX590405 ST590404:ST590405 ACP590404:ACP590405 AML590404:AML590405 AWH590404:AWH590405 BGD590404:BGD590405 BPZ590404:BPZ590405 BZV590404:BZV590405 CJR590404:CJR590405 CTN590404:CTN590405 DDJ590404:DDJ590405 DNF590404:DNF590405 DXB590404:DXB590405 EGX590404:EGX590405 EQT590404:EQT590405 FAP590404:FAP590405 FKL590404:FKL590405 FUH590404:FUH590405 GED590404:GED590405 GNZ590404:GNZ590405 GXV590404:GXV590405 HHR590404:HHR590405 HRN590404:HRN590405 IBJ590404:IBJ590405 ILF590404:ILF590405 IVB590404:IVB590405 JEX590404:JEX590405 JOT590404:JOT590405 JYP590404:JYP590405 KIL590404:KIL590405 KSH590404:KSH590405 LCD590404:LCD590405 LLZ590404:LLZ590405 LVV590404:LVV590405 MFR590404:MFR590405 MPN590404:MPN590405 MZJ590404:MZJ590405 NJF590404:NJF590405 NTB590404:NTB590405 OCX590404:OCX590405 OMT590404:OMT590405 OWP590404:OWP590405 PGL590404:PGL590405 PQH590404:PQH590405 QAD590404:QAD590405 QJZ590404:QJZ590405 QTV590404:QTV590405 RDR590404:RDR590405 RNN590404:RNN590405 RXJ590404:RXJ590405 SHF590404:SHF590405 SRB590404:SRB590405 TAX590404:TAX590405 TKT590404:TKT590405 TUP590404:TUP590405 UEL590404:UEL590405 UOH590404:UOH590405 UYD590404:UYD590405 VHZ590404:VHZ590405 VRV590404:VRV590405 WBR590404:WBR590405 WLN590404:WLN590405 WVJ590404:WVJ590405 B655940:B655941 IX655940:IX655941 ST655940:ST655941 ACP655940:ACP655941 AML655940:AML655941 AWH655940:AWH655941 BGD655940:BGD655941 BPZ655940:BPZ655941 BZV655940:BZV655941 CJR655940:CJR655941 CTN655940:CTN655941 DDJ655940:DDJ655941 DNF655940:DNF655941 DXB655940:DXB655941 EGX655940:EGX655941 EQT655940:EQT655941 FAP655940:FAP655941 FKL655940:FKL655941 FUH655940:FUH655941 GED655940:GED655941 GNZ655940:GNZ655941 GXV655940:GXV655941 HHR655940:HHR655941 HRN655940:HRN655941 IBJ655940:IBJ655941 ILF655940:ILF655941 IVB655940:IVB655941 JEX655940:JEX655941 JOT655940:JOT655941 JYP655940:JYP655941 KIL655940:KIL655941 KSH655940:KSH655941 LCD655940:LCD655941 LLZ655940:LLZ655941 LVV655940:LVV655941 MFR655940:MFR655941 MPN655940:MPN655941 MZJ655940:MZJ655941 NJF655940:NJF655941 NTB655940:NTB655941 OCX655940:OCX655941 OMT655940:OMT655941 OWP655940:OWP655941 PGL655940:PGL655941 PQH655940:PQH655941 QAD655940:QAD655941 QJZ655940:QJZ655941 QTV655940:QTV655941 RDR655940:RDR655941 RNN655940:RNN655941 RXJ655940:RXJ655941 SHF655940:SHF655941 SRB655940:SRB655941 TAX655940:TAX655941 TKT655940:TKT655941 TUP655940:TUP655941 UEL655940:UEL655941 UOH655940:UOH655941 UYD655940:UYD655941 VHZ655940:VHZ655941 VRV655940:VRV655941 WBR655940:WBR655941 WLN655940:WLN655941 WVJ655940:WVJ655941 B721476:B721477 IX721476:IX721477 ST721476:ST721477 ACP721476:ACP721477 AML721476:AML721477 AWH721476:AWH721477 BGD721476:BGD721477 BPZ721476:BPZ721477 BZV721476:BZV721477 CJR721476:CJR721477 CTN721476:CTN721477 DDJ721476:DDJ721477 DNF721476:DNF721477 DXB721476:DXB721477 EGX721476:EGX721477 EQT721476:EQT721477 FAP721476:FAP721477 FKL721476:FKL721477 FUH721476:FUH721477 GED721476:GED721477 GNZ721476:GNZ721477 GXV721476:GXV721477 HHR721476:HHR721477 HRN721476:HRN721477 IBJ721476:IBJ721477 ILF721476:ILF721477 IVB721476:IVB721477 JEX721476:JEX721477 JOT721476:JOT721477 JYP721476:JYP721477 KIL721476:KIL721477 KSH721476:KSH721477 LCD721476:LCD721477 LLZ721476:LLZ721477 LVV721476:LVV721477 MFR721476:MFR721477 MPN721476:MPN721477 MZJ721476:MZJ721477 NJF721476:NJF721477 NTB721476:NTB721477 OCX721476:OCX721477 OMT721476:OMT721477 OWP721476:OWP721477 PGL721476:PGL721477 PQH721476:PQH721477 QAD721476:QAD721477 QJZ721476:QJZ721477 QTV721476:QTV721477 RDR721476:RDR721477 RNN721476:RNN721477 RXJ721476:RXJ721477 SHF721476:SHF721477 SRB721476:SRB721477 TAX721476:TAX721477 TKT721476:TKT721477 TUP721476:TUP721477 UEL721476:UEL721477 UOH721476:UOH721477 UYD721476:UYD721477 VHZ721476:VHZ721477 VRV721476:VRV721477 WBR721476:WBR721477 WLN721476:WLN721477 WVJ721476:WVJ721477 B787012:B787013 IX787012:IX787013 ST787012:ST787013 ACP787012:ACP787013 AML787012:AML787013 AWH787012:AWH787013 BGD787012:BGD787013 BPZ787012:BPZ787013 BZV787012:BZV787013 CJR787012:CJR787013 CTN787012:CTN787013 DDJ787012:DDJ787013 DNF787012:DNF787013 DXB787012:DXB787013 EGX787012:EGX787013 EQT787012:EQT787013 FAP787012:FAP787013 FKL787012:FKL787013 FUH787012:FUH787013 GED787012:GED787013 GNZ787012:GNZ787013 GXV787012:GXV787013 HHR787012:HHR787013 HRN787012:HRN787013 IBJ787012:IBJ787013 ILF787012:ILF787013 IVB787012:IVB787013 JEX787012:JEX787013 JOT787012:JOT787013 JYP787012:JYP787013 KIL787012:KIL787013 KSH787012:KSH787013 LCD787012:LCD787013 LLZ787012:LLZ787013 LVV787012:LVV787013 MFR787012:MFR787013 MPN787012:MPN787013 MZJ787012:MZJ787013 NJF787012:NJF787013 NTB787012:NTB787013 OCX787012:OCX787013 OMT787012:OMT787013 OWP787012:OWP787013 PGL787012:PGL787013 PQH787012:PQH787013 QAD787012:QAD787013 QJZ787012:QJZ787013 QTV787012:QTV787013 RDR787012:RDR787013 RNN787012:RNN787013 RXJ787012:RXJ787013 SHF787012:SHF787013 SRB787012:SRB787013 TAX787012:TAX787013 TKT787012:TKT787013 TUP787012:TUP787013 UEL787012:UEL787013 UOH787012:UOH787013 UYD787012:UYD787013 VHZ787012:VHZ787013 VRV787012:VRV787013 WBR787012:WBR787013 WLN787012:WLN787013 WVJ787012:WVJ787013 B852548:B852549 IX852548:IX852549 ST852548:ST852549 ACP852548:ACP852549 AML852548:AML852549 AWH852548:AWH852549 BGD852548:BGD852549 BPZ852548:BPZ852549 BZV852548:BZV852549 CJR852548:CJR852549 CTN852548:CTN852549 DDJ852548:DDJ852549 DNF852548:DNF852549 DXB852548:DXB852549 EGX852548:EGX852549 EQT852548:EQT852549 FAP852548:FAP852549 FKL852548:FKL852549 FUH852548:FUH852549 GED852548:GED852549 GNZ852548:GNZ852549 GXV852548:GXV852549 HHR852548:HHR852549 HRN852548:HRN852549 IBJ852548:IBJ852549 ILF852548:ILF852549 IVB852548:IVB852549 JEX852548:JEX852549 JOT852548:JOT852549 JYP852548:JYP852549 KIL852548:KIL852549 KSH852548:KSH852549 LCD852548:LCD852549 LLZ852548:LLZ852549 LVV852548:LVV852549 MFR852548:MFR852549 MPN852548:MPN852549 MZJ852548:MZJ852549 NJF852548:NJF852549 NTB852548:NTB852549 OCX852548:OCX852549 OMT852548:OMT852549 OWP852548:OWP852549 PGL852548:PGL852549 PQH852548:PQH852549 QAD852548:QAD852549 QJZ852548:QJZ852549 QTV852548:QTV852549 RDR852548:RDR852549 RNN852548:RNN852549 RXJ852548:RXJ852549 SHF852548:SHF852549 SRB852548:SRB852549 TAX852548:TAX852549 TKT852548:TKT852549 TUP852548:TUP852549 UEL852548:UEL852549 UOH852548:UOH852549 UYD852548:UYD852549 VHZ852548:VHZ852549 VRV852548:VRV852549 WBR852548:WBR852549 WLN852548:WLN852549 WVJ852548:WVJ852549 B918084:B918085 IX918084:IX918085 ST918084:ST918085 ACP918084:ACP918085 AML918084:AML918085 AWH918084:AWH918085 BGD918084:BGD918085 BPZ918084:BPZ918085 BZV918084:BZV918085 CJR918084:CJR918085 CTN918084:CTN918085 DDJ918084:DDJ918085 DNF918084:DNF918085 DXB918084:DXB918085 EGX918084:EGX918085 EQT918084:EQT918085 FAP918084:FAP918085 FKL918084:FKL918085 FUH918084:FUH918085 GED918084:GED918085 GNZ918084:GNZ918085 GXV918084:GXV918085 HHR918084:HHR918085 HRN918084:HRN918085 IBJ918084:IBJ918085 ILF918084:ILF918085 IVB918084:IVB918085 JEX918084:JEX918085 JOT918084:JOT918085 JYP918084:JYP918085 KIL918084:KIL918085 KSH918084:KSH918085 LCD918084:LCD918085 LLZ918084:LLZ918085 LVV918084:LVV918085 MFR918084:MFR918085 MPN918084:MPN918085 MZJ918084:MZJ918085 NJF918084:NJF918085 NTB918084:NTB918085 OCX918084:OCX918085 OMT918084:OMT918085 OWP918084:OWP918085 PGL918084:PGL918085 PQH918084:PQH918085 QAD918084:QAD918085 QJZ918084:QJZ918085 QTV918084:QTV918085 RDR918084:RDR918085 RNN918084:RNN918085 RXJ918084:RXJ918085 SHF918084:SHF918085 SRB918084:SRB918085 TAX918084:TAX918085 TKT918084:TKT918085 TUP918084:TUP918085 UEL918084:UEL918085 UOH918084:UOH918085 UYD918084:UYD918085 VHZ918084:VHZ918085 VRV918084:VRV918085 WBR918084:WBR918085 WLN918084:WLN918085 WVJ918084:WVJ918085 B983620:B983621 IX983620:IX983621 ST983620:ST983621 ACP983620:ACP983621 AML983620:AML983621 AWH983620:AWH983621 BGD983620:BGD983621 BPZ983620:BPZ983621 BZV983620:BZV983621 CJR983620:CJR983621 CTN983620:CTN983621 DDJ983620:DDJ983621 DNF983620:DNF983621 DXB983620:DXB983621 EGX983620:EGX983621 EQT983620:EQT983621 FAP983620:FAP983621 FKL983620:FKL983621 FUH983620:FUH983621 GED983620:GED983621 GNZ983620:GNZ983621 GXV983620:GXV983621 HHR983620:HHR983621 HRN983620:HRN983621 IBJ983620:IBJ983621 ILF983620:ILF983621 IVB983620:IVB983621 JEX983620:JEX983621 JOT983620:JOT983621 JYP983620:JYP983621 KIL983620:KIL983621 KSH983620:KSH983621 LCD983620:LCD983621 LLZ983620:LLZ983621 LVV983620:LVV983621 MFR983620:MFR983621 MPN983620:MPN983621 MZJ983620:MZJ983621 NJF983620:NJF983621 NTB983620:NTB983621 OCX983620:OCX983621 OMT983620:OMT983621 OWP983620:OWP983621 PGL983620:PGL983621 PQH983620:PQH983621 QAD983620:QAD983621 QJZ983620:QJZ983621 QTV983620:QTV983621 RDR983620:RDR983621 RNN983620:RNN983621 RXJ983620:RXJ983621 SHF983620:SHF983621 SRB983620:SRB983621 TAX983620:TAX983621 TKT983620:TKT983621 TUP983620:TUP983621 UEL983620:UEL983621 UOH983620:UOH983621 UYD983620:UYD983621 VHZ983620:VHZ983621 VRV983620:VRV983621 WBR983620:WBR983621 WLN983620:WLN983621 WVJ983620:WVJ983621 B66101 IX66101 ST66101 ACP66101 AML66101 AWH66101 BGD66101 BPZ66101 BZV66101 CJR66101 CTN66101 DDJ66101 DNF66101 DXB66101 EGX66101 EQT66101 FAP66101 FKL66101 FUH66101 GED66101 GNZ66101 GXV66101 HHR66101 HRN66101 IBJ66101 ILF66101 IVB66101 JEX66101 JOT66101 JYP66101 KIL66101 KSH66101 LCD66101 LLZ66101 LVV66101 MFR66101 MPN66101 MZJ66101 NJF66101 NTB66101 OCX66101 OMT66101 OWP66101 PGL66101 PQH66101 QAD66101 QJZ66101 QTV66101 RDR66101 RNN66101 RXJ66101 SHF66101 SRB66101 TAX66101 TKT66101 TUP66101 UEL66101 UOH66101 UYD66101 VHZ66101 VRV66101 WBR66101 WLN66101 WVJ66101 B131637 IX131637 ST131637 ACP131637 AML131637 AWH131637 BGD131637 BPZ131637 BZV131637 CJR131637 CTN131637 DDJ131637 DNF131637 DXB131637 EGX131637 EQT131637 FAP131637 FKL131637 FUH131637 GED131637 GNZ131637 GXV131637 HHR131637 HRN131637 IBJ131637 ILF131637 IVB131637 JEX131637 JOT131637 JYP131637 KIL131637 KSH131637 LCD131637 LLZ131637 LVV131637 MFR131637 MPN131637 MZJ131637 NJF131637 NTB131637 OCX131637 OMT131637 OWP131637 PGL131637 PQH131637 QAD131637 QJZ131637 QTV131637 RDR131637 RNN131637 RXJ131637 SHF131637 SRB131637 TAX131637 TKT131637 TUP131637 UEL131637 UOH131637 UYD131637 VHZ131637 VRV131637 WBR131637 WLN131637 WVJ131637 B197173 IX197173 ST197173 ACP197173 AML197173 AWH197173 BGD197173 BPZ197173 BZV197173 CJR197173 CTN197173 DDJ197173 DNF197173 DXB197173 EGX197173 EQT197173 FAP197173 FKL197173 FUH197173 GED197173 GNZ197173 GXV197173 HHR197173 HRN197173 IBJ197173 ILF197173 IVB197173 JEX197173 JOT197173 JYP197173 KIL197173 KSH197173 LCD197173 LLZ197173 LVV197173 MFR197173 MPN197173 MZJ197173 NJF197173 NTB197173 OCX197173 OMT197173 OWP197173 PGL197173 PQH197173 QAD197173 QJZ197173 QTV197173 RDR197173 RNN197173 RXJ197173 SHF197173 SRB197173 TAX197173 TKT197173 TUP197173 UEL197173 UOH197173 UYD197173 VHZ197173 VRV197173 WBR197173 WLN197173 WVJ197173 B262709 IX262709 ST262709 ACP262709 AML262709 AWH262709 BGD262709 BPZ262709 BZV262709 CJR262709 CTN262709 DDJ262709 DNF262709 DXB262709 EGX262709 EQT262709 FAP262709 FKL262709 FUH262709 GED262709 GNZ262709 GXV262709 HHR262709 HRN262709 IBJ262709 ILF262709 IVB262709 JEX262709 JOT262709 JYP262709 KIL262709 KSH262709 LCD262709 LLZ262709 LVV262709 MFR262709 MPN262709 MZJ262709 NJF262709 NTB262709 OCX262709 OMT262709 OWP262709 PGL262709 PQH262709 QAD262709 QJZ262709 QTV262709 RDR262709 RNN262709 RXJ262709 SHF262709 SRB262709 TAX262709 TKT262709 TUP262709 UEL262709 UOH262709 UYD262709 VHZ262709 VRV262709 WBR262709 WLN262709 WVJ262709 B328245 IX328245 ST328245 ACP328245 AML328245 AWH328245 BGD328245 BPZ328245 BZV328245 CJR328245 CTN328245 DDJ328245 DNF328245 DXB328245 EGX328245 EQT328245 FAP328245 FKL328245 FUH328245 GED328245 GNZ328245 GXV328245 HHR328245 HRN328245 IBJ328245 ILF328245 IVB328245 JEX328245 JOT328245 JYP328245 KIL328245 KSH328245 LCD328245 LLZ328245 LVV328245 MFR328245 MPN328245 MZJ328245 NJF328245 NTB328245 OCX328245 OMT328245 OWP328245 PGL328245 PQH328245 QAD328245 QJZ328245 QTV328245 RDR328245 RNN328245 RXJ328245 SHF328245 SRB328245 TAX328245 TKT328245 TUP328245 UEL328245 UOH328245 UYD328245 VHZ328245 VRV328245 WBR328245 WLN328245 WVJ328245 B393781 IX393781 ST393781 ACP393781 AML393781 AWH393781 BGD393781 BPZ393781 BZV393781 CJR393781 CTN393781 DDJ393781 DNF393781 DXB393781 EGX393781 EQT393781 FAP393781 FKL393781 FUH393781 GED393781 GNZ393781 GXV393781 HHR393781 HRN393781 IBJ393781 ILF393781 IVB393781 JEX393781 JOT393781 JYP393781 KIL393781 KSH393781 LCD393781 LLZ393781 LVV393781 MFR393781 MPN393781 MZJ393781 NJF393781 NTB393781 OCX393781 OMT393781 OWP393781 PGL393781 PQH393781 QAD393781 QJZ393781 QTV393781 RDR393781 RNN393781 RXJ393781 SHF393781 SRB393781 TAX393781 TKT393781 TUP393781 UEL393781 UOH393781 UYD393781 VHZ393781 VRV393781 WBR393781 WLN393781 WVJ393781 B459317 IX459317 ST459317 ACP459317 AML459317 AWH459317 BGD459317 BPZ459317 BZV459317 CJR459317 CTN459317 DDJ459317 DNF459317 DXB459317 EGX459317 EQT459317 FAP459317 FKL459317 FUH459317 GED459317 GNZ459317 GXV459317 HHR459317 HRN459317 IBJ459317 ILF459317 IVB459317 JEX459317 JOT459317 JYP459317 KIL459317 KSH459317 LCD459317 LLZ459317 LVV459317 MFR459317 MPN459317 MZJ459317 NJF459317 NTB459317 OCX459317 OMT459317 OWP459317 PGL459317 PQH459317 QAD459317 QJZ459317 QTV459317 RDR459317 RNN459317 RXJ459317 SHF459317 SRB459317 TAX459317 TKT459317 TUP459317 UEL459317 UOH459317 UYD459317 VHZ459317 VRV459317 WBR459317 WLN459317 WVJ459317 B524853 IX524853 ST524853 ACP524853 AML524853 AWH524853 BGD524853 BPZ524853 BZV524853 CJR524853 CTN524853 DDJ524853 DNF524853 DXB524853 EGX524853 EQT524853 FAP524853 FKL524853 FUH524853 GED524853 GNZ524853 GXV524853 HHR524853 HRN524853 IBJ524853 ILF524853 IVB524853 JEX524853 JOT524853 JYP524853 KIL524853 KSH524853 LCD524853 LLZ524853 LVV524853 MFR524853 MPN524853 MZJ524853 NJF524853 NTB524853 OCX524853 OMT524853 OWP524853 PGL524853 PQH524853 QAD524853 QJZ524853 QTV524853 RDR524853 RNN524853 RXJ524853 SHF524853 SRB524853 TAX524853 TKT524853 TUP524853 UEL524853 UOH524853 UYD524853 VHZ524853 VRV524853 WBR524853 WLN524853 WVJ524853 B590389 IX590389 ST590389 ACP590389 AML590389 AWH590389 BGD590389 BPZ590389 BZV590389 CJR590389 CTN590389 DDJ590389 DNF590389 DXB590389 EGX590389 EQT590389 FAP590389 FKL590389 FUH590389 GED590389 GNZ590389 GXV590389 HHR590389 HRN590389 IBJ590389 ILF590389 IVB590389 JEX590389 JOT590389 JYP590389 KIL590389 KSH590389 LCD590389 LLZ590389 LVV590389 MFR590389 MPN590389 MZJ590389 NJF590389 NTB590389 OCX590389 OMT590389 OWP590389 PGL590389 PQH590389 QAD590389 QJZ590389 QTV590389 RDR590389 RNN590389 RXJ590389 SHF590389 SRB590389 TAX590389 TKT590389 TUP590389 UEL590389 UOH590389 UYD590389 VHZ590389 VRV590389 WBR590389 WLN590389 WVJ590389 B655925 IX655925 ST655925 ACP655925 AML655925 AWH655925 BGD655925 BPZ655925 BZV655925 CJR655925 CTN655925 DDJ655925 DNF655925 DXB655925 EGX655925 EQT655925 FAP655925 FKL655925 FUH655925 GED655925 GNZ655925 GXV655925 HHR655925 HRN655925 IBJ655925 ILF655925 IVB655925 JEX655925 JOT655925 JYP655925 KIL655925 KSH655925 LCD655925 LLZ655925 LVV655925 MFR655925 MPN655925 MZJ655925 NJF655925 NTB655925 OCX655925 OMT655925 OWP655925 PGL655925 PQH655925 QAD655925 QJZ655925 QTV655925 RDR655925 RNN655925 RXJ655925 SHF655925 SRB655925 TAX655925 TKT655925 TUP655925 UEL655925 UOH655925 UYD655925 VHZ655925 VRV655925 WBR655925 WLN655925 WVJ655925 B721461 IX721461 ST721461 ACP721461 AML721461 AWH721461 BGD721461 BPZ721461 BZV721461 CJR721461 CTN721461 DDJ721461 DNF721461 DXB721461 EGX721461 EQT721461 FAP721461 FKL721461 FUH721461 GED721461 GNZ721461 GXV721461 HHR721461 HRN721461 IBJ721461 ILF721461 IVB721461 JEX721461 JOT721461 JYP721461 KIL721461 KSH721461 LCD721461 LLZ721461 LVV721461 MFR721461 MPN721461 MZJ721461 NJF721461 NTB721461 OCX721461 OMT721461 OWP721461 PGL721461 PQH721461 QAD721461 QJZ721461 QTV721461 RDR721461 RNN721461 RXJ721461 SHF721461 SRB721461 TAX721461 TKT721461 TUP721461 UEL721461 UOH721461 UYD721461 VHZ721461 VRV721461 WBR721461 WLN721461 WVJ721461 B786997 IX786997 ST786997 ACP786997 AML786997 AWH786997 BGD786997 BPZ786997 BZV786997 CJR786997 CTN786997 DDJ786997 DNF786997 DXB786997 EGX786997 EQT786997 FAP786997 FKL786997 FUH786997 GED786997 GNZ786997 GXV786997 HHR786997 HRN786997 IBJ786997 ILF786997 IVB786997 JEX786997 JOT786997 JYP786997 KIL786997 KSH786997 LCD786997 LLZ786997 LVV786997 MFR786997 MPN786997 MZJ786997 NJF786997 NTB786997 OCX786997 OMT786997 OWP786997 PGL786997 PQH786997 QAD786997 QJZ786997 QTV786997 RDR786997 RNN786997 RXJ786997 SHF786997 SRB786997 TAX786997 TKT786997 TUP786997 UEL786997 UOH786997 UYD786997 VHZ786997 VRV786997 WBR786997 WLN786997 WVJ786997 B852533 IX852533 ST852533 ACP852533 AML852533 AWH852533 BGD852533 BPZ852533 BZV852533 CJR852533 CTN852533 DDJ852533 DNF852533 DXB852533 EGX852533 EQT852533 FAP852533 FKL852533 FUH852533 GED852533 GNZ852533 GXV852533 HHR852533 HRN852533 IBJ852533 ILF852533 IVB852533 JEX852533 JOT852533 JYP852533 KIL852533 KSH852533 LCD852533 LLZ852533 LVV852533 MFR852533 MPN852533 MZJ852533 NJF852533 NTB852533 OCX852533 OMT852533 OWP852533 PGL852533 PQH852533 QAD852533 QJZ852533 QTV852533 RDR852533 RNN852533 RXJ852533 SHF852533 SRB852533 TAX852533 TKT852533 TUP852533 UEL852533 UOH852533 UYD852533 VHZ852533 VRV852533 WBR852533 WLN852533 WVJ852533 B918069 IX918069 ST918069 ACP918069 AML918069 AWH918069 BGD918069 BPZ918069 BZV918069 CJR918069 CTN918069 DDJ918069 DNF918069 DXB918069 EGX918069 EQT918069 FAP918069 FKL918069 FUH918069 GED918069 GNZ918069 GXV918069 HHR918069 HRN918069 IBJ918069 ILF918069 IVB918069 JEX918069 JOT918069 JYP918069 KIL918069 KSH918069 LCD918069 LLZ918069 LVV918069 MFR918069 MPN918069 MZJ918069 NJF918069 NTB918069 OCX918069 OMT918069 OWP918069 PGL918069 PQH918069 QAD918069 QJZ918069 QTV918069 RDR918069 RNN918069 RXJ918069 SHF918069 SRB918069 TAX918069 TKT918069 TUP918069 UEL918069 UOH918069 UYD918069 VHZ918069 VRV918069 WBR918069 WLN918069 WVJ918069 B983605 IX983605 ST983605 ACP983605 AML983605 AWH983605 BGD983605 BPZ983605 BZV983605 CJR983605 CTN983605 DDJ983605 DNF983605 DXB983605 EGX983605 EQT983605 FAP983605 FKL983605 FUH983605 GED983605 GNZ983605 GXV983605 HHR983605 HRN983605 IBJ983605 ILF983605 IVB983605 JEX983605 JOT983605 JYP983605 KIL983605 KSH983605 LCD983605 LLZ983605 LVV983605 MFR983605 MPN983605 MZJ983605 NJF983605 NTB983605 OCX983605 OMT983605 OWP983605 PGL983605 PQH983605 QAD983605 QJZ983605 QTV983605 RDR983605 RNN983605 RXJ983605 SHF983605 SRB983605 TAX983605 TKT983605 TUP983605 UEL983605 UOH983605 UYD983605 VHZ983605 VRV983605 WBR983605 WLN983605 WVJ983605 B65762:B65765 IX65762:IX65765 ST65762:ST65765 ACP65762:ACP65765 AML65762:AML65765 AWH65762:AWH65765 BGD65762:BGD65765 BPZ65762:BPZ65765 BZV65762:BZV65765 CJR65762:CJR65765 CTN65762:CTN65765 DDJ65762:DDJ65765 DNF65762:DNF65765 DXB65762:DXB65765 EGX65762:EGX65765 EQT65762:EQT65765 FAP65762:FAP65765 FKL65762:FKL65765 FUH65762:FUH65765 GED65762:GED65765 GNZ65762:GNZ65765 GXV65762:GXV65765 HHR65762:HHR65765 HRN65762:HRN65765 IBJ65762:IBJ65765 ILF65762:ILF65765 IVB65762:IVB65765 JEX65762:JEX65765 JOT65762:JOT65765 JYP65762:JYP65765 KIL65762:KIL65765 KSH65762:KSH65765 LCD65762:LCD65765 LLZ65762:LLZ65765 LVV65762:LVV65765 MFR65762:MFR65765 MPN65762:MPN65765 MZJ65762:MZJ65765 NJF65762:NJF65765 NTB65762:NTB65765 OCX65762:OCX65765 OMT65762:OMT65765 OWP65762:OWP65765 PGL65762:PGL65765 PQH65762:PQH65765 QAD65762:QAD65765 QJZ65762:QJZ65765 QTV65762:QTV65765 RDR65762:RDR65765 RNN65762:RNN65765 RXJ65762:RXJ65765 SHF65762:SHF65765 SRB65762:SRB65765 TAX65762:TAX65765 TKT65762:TKT65765 TUP65762:TUP65765 UEL65762:UEL65765 UOH65762:UOH65765 UYD65762:UYD65765 VHZ65762:VHZ65765 VRV65762:VRV65765 WBR65762:WBR65765 WLN65762:WLN65765 WVJ65762:WVJ65765 B131298:B131301 IX131298:IX131301 ST131298:ST131301 ACP131298:ACP131301 AML131298:AML131301 AWH131298:AWH131301 BGD131298:BGD131301 BPZ131298:BPZ131301 BZV131298:BZV131301 CJR131298:CJR131301 CTN131298:CTN131301 DDJ131298:DDJ131301 DNF131298:DNF131301 DXB131298:DXB131301 EGX131298:EGX131301 EQT131298:EQT131301 FAP131298:FAP131301 FKL131298:FKL131301 FUH131298:FUH131301 GED131298:GED131301 GNZ131298:GNZ131301 GXV131298:GXV131301 HHR131298:HHR131301 HRN131298:HRN131301 IBJ131298:IBJ131301 ILF131298:ILF131301 IVB131298:IVB131301 JEX131298:JEX131301 JOT131298:JOT131301 JYP131298:JYP131301 KIL131298:KIL131301 KSH131298:KSH131301 LCD131298:LCD131301 LLZ131298:LLZ131301 LVV131298:LVV131301 MFR131298:MFR131301 MPN131298:MPN131301 MZJ131298:MZJ131301 NJF131298:NJF131301 NTB131298:NTB131301 OCX131298:OCX131301 OMT131298:OMT131301 OWP131298:OWP131301 PGL131298:PGL131301 PQH131298:PQH131301 QAD131298:QAD131301 QJZ131298:QJZ131301 QTV131298:QTV131301 RDR131298:RDR131301 RNN131298:RNN131301 RXJ131298:RXJ131301 SHF131298:SHF131301 SRB131298:SRB131301 TAX131298:TAX131301 TKT131298:TKT131301 TUP131298:TUP131301 UEL131298:UEL131301 UOH131298:UOH131301 UYD131298:UYD131301 VHZ131298:VHZ131301 VRV131298:VRV131301 WBR131298:WBR131301 WLN131298:WLN131301 WVJ131298:WVJ131301 B196834:B196837 IX196834:IX196837 ST196834:ST196837 ACP196834:ACP196837 AML196834:AML196837 AWH196834:AWH196837 BGD196834:BGD196837 BPZ196834:BPZ196837 BZV196834:BZV196837 CJR196834:CJR196837 CTN196834:CTN196837 DDJ196834:DDJ196837 DNF196834:DNF196837 DXB196834:DXB196837 EGX196834:EGX196837 EQT196834:EQT196837 FAP196834:FAP196837 FKL196834:FKL196837 FUH196834:FUH196837 GED196834:GED196837 GNZ196834:GNZ196837 GXV196834:GXV196837 HHR196834:HHR196837 HRN196834:HRN196837 IBJ196834:IBJ196837 ILF196834:ILF196837 IVB196834:IVB196837 JEX196834:JEX196837 JOT196834:JOT196837 JYP196834:JYP196837 KIL196834:KIL196837 KSH196834:KSH196837 LCD196834:LCD196837 LLZ196834:LLZ196837 LVV196834:LVV196837 MFR196834:MFR196837 MPN196834:MPN196837 MZJ196834:MZJ196837 NJF196834:NJF196837 NTB196834:NTB196837 OCX196834:OCX196837 OMT196834:OMT196837 OWP196834:OWP196837 PGL196834:PGL196837 PQH196834:PQH196837 QAD196834:QAD196837 QJZ196834:QJZ196837 QTV196834:QTV196837 RDR196834:RDR196837 RNN196834:RNN196837 RXJ196834:RXJ196837 SHF196834:SHF196837 SRB196834:SRB196837 TAX196834:TAX196837 TKT196834:TKT196837 TUP196834:TUP196837 UEL196834:UEL196837 UOH196834:UOH196837 UYD196834:UYD196837 VHZ196834:VHZ196837 VRV196834:VRV196837 WBR196834:WBR196837 WLN196834:WLN196837 WVJ196834:WVJ196837 B262370:B262373 IX262370:IX262373 ST262370:ST262373 ACP262370:ACP262373 AML262370:AML262373 AWH262370:AWH262373 BGD262370:BGD262373 BPZ262370:BPZ262373 BZV262370:BZV262373 CJR262370:CJR262373 CTN262370:CTN262373 DDJ262370:DDJ262373 DNF262370:DNF262373 DXB262370:DXB262373 EGX262370:EGX262373 EQT262370:EQT262373 FAP262370:FAP262373 FKL262370:FKL262373 FUH262370:FUH262373 GED262370:GED262373 GNZ262370:GNZ262373 GXV262370:GXV262373 HHR262370:HHR262373 HRN262370:HRN262373 IBJ262370:IBJ262373 ILF262370:ILF262373 IVB262370:IVB262373 JEX262370:JEX262373 JOT262370:JOT262373 JYP262370:JYP262373 KIL262370:KIL262373 KSH262370:KSH262373 LCD262370:LCD262373 LLZ262370:LLZ262373 LVV262370:LVV262373 MFR262370:MFR262373 MPN262370:MPN262373 MZJ262370:MZJ262373 NJF262370:NJF262373 NTB262370:NTB262373 OCX262370:OCX262373 OMT262370:OMT262373 OWP262370:OWP262373 PGL262370:PGL262373 PQH262370:PQH262373 QAD262370:QAD262373 QJZ262370:QJZ262373 QTV262370:QTV262373 RDR262370:RDR262373 RNN262370:RNN262373 RXJ262370:RXJ262373 SHF262370:SHF262373 SRB262370:SRB262373 TAX262370:TAX262373 TKT262370:TKT262373 TUP262370:TUP262373 UEL262370:UEL262373 UOH262370:UOH262373 UYD262370:UYD262373 VHZ262370:VHZ262373 VRV262370:VRV262373 WBR262370:WBR262373 WLN262370:WLN262373 WVJ262370:WVJ262373 B327906:B327909 IX327906:IX327909 ST327906:ST327909 ACP327906:ACP327909 AML327906:AML327909 AWH327906:AWH327909 BGD327906:BGD327909 BPZ327906:BPZ327909 BZV327906:BZV327909 CJR327906:CJR327909 CTN327906:CTN327909 DDJ327906:DDJ327909 DNF327906:DNF327909 DXB327906:DXB327909 EGX327906:EGX327909 EQT327906:EQT327909 FAP327906:FAP327909 FKL327906:FKL327909 FUH327906:FUH327909 GED327906:GED327909 GNZ327906:GNZ327909 GXV327906:GXV327909 HHR327906:HHR327909 HRN327906:HRN327909 IBJ327906:IBJ327909 ILF327906:ILF327909 IVB327906:IVB327909 JEX327906:JEX327909 JOT327906:JOT327909 JYP327906:JYP327909 KIL327906:KIL327909 KSH327906:KSH327909 LCD327906:LCD327909 LLZ327906:LLZ327909 LVV327906:LVV327909 MFR327906:MFR327909 MPN327906:MPN327909 MZJ327906:MZJ327909 NJF327906:NJF327909 NTB327906:NTB327909 OCX327906:OCX327909 OMT327906:OMT327909 OWP327906:OWP327909 PGL327906:PGL327909 PQH327906:PQH327909 QAD327906:QAD327909 QJZ327906:QJZ327909 QTV327906:QTV327909 RDR327906:RDR327909 RNN327906:RNN327909 RXJ327906:RXJ327909 SHF327906:SHF327909 SRB327906:SRB327909 TAX327906:TAX327909 TKT327906:TKT327909 TUP327906:TUP327909 UEL327906:UEL327909 UOH327906:UOH327909 UYD327906:UYD327909 VHZ327906:VHZ327909 VRV327906:VRV327909 WBR327906:WBR327909 WLN327906:WLN327909 WVJ327906:WVJ327909 B393442:B393445 IX393442:IX393445 ST393442:ST393445 ACP393442:ACP393445 AML393442:AML393445 AWH393442:AWH393445 BGD393442:BGD393445 BPZ393442:BPZ393445 BZV393442:BZV393445 CJR393442:CJR393445 CTN393442:CTN393445 DDJ393442:DDJ393445 DNF393442:DNF393445 DXB393442:DXB393445 EGX393442:EGX393445 EQT393442:EQT393445 FAP393442:FAP393445 FKL393442:FKL393445 FUH393442:FUH393445 GED393442:GED393445 GNZ393442:GNZ393445 GXV393442:GXV393445 HHR393442:HHR393445 HRN393442:HRN393445 IBJ393442:IBJ393445 ILF393442:ILF393445 IVB393442:IVB393445 JEX393442:JEX393445 JOT393442:JOT393445 JYP393442:JYP393445 KIL393442:KIL393445 KSH393442:KSH393445 LCD393442:LCD393445 LLZ393442:LLZ393445 LVV393442:LVV393445 MFR393442:MFR393445 MPN393442:MPN393445 MZJ393442:MZJ393445 NJF393442:NJF393445 NTB393442:NTB393445 OCX393442:OCX393445 OMT393442:OMT393445 OWP393442:OWP393445 PGL393442:PGL393445 PQH393442:PQH393445 QAD393442:QAD393445 QJZ393442:QJZ393445 QTV393442:QTV393445 RDR393442:RDR393445 RNN393442:RNN393445 RXJ393442:RXJ393445 SHF393442:SHF393445 SRB393442:SRB393445 TAX393442:TAX393445 TKT393442:TKT393445 TUP393442:TUP393445 UEL393442:UEL393445 UOH393442:UOH393445 UYD393442:UYD393445 VHZ393442:VHZ393445 VRV393442:VRV393445 WBR393442:WBR393445 WLN393442:WLN393445 WVJ393442:WVJ393445 B458978:B458981 IX458978:IX458981 ST458978:ST458981 ACP458978:ACP458981 AML458978:AML458981 AWH458978:AWH458981 BGD458978:BGD458981 BPZ458978:BPZ458981 BZV458978:BZV458981 CJR458978:CJR458981 CTN458978:CTN458981 DDJ458978:DDJ458981 DNF458978:DNF458981 DXB458978:DXB458981 EGX458978:EGX458981 EQT458978:EQT458981 FAP458978:FAP458981 FKL458978:FKL458981 FUH458978:FUH458981 GED458978:GED458981 GNZ458978:GNZ458981 GXV458978:GXV458981 HHR458978:HHR458981 HRN458978:HRN458981 IBJ458978:IBJ458981 ILF458978:ILF458981 IVB458978:IVB458981 JEX458978:JEX458981 JOT458978:JOT458981 JYP458978:JYP458981 KIL458978:KIL458981 KSH458978:KSH458981 LCD458978:LCD458981 LLZ458978:LLZ458981 LVV458978:LVV458981 MFR458978:MFR458981 MPN458978:MPN458981 MZJ458978:MZJ458981 NJF458978:NJF458981 NTB458978:NTB458981 OCX458978:OCX458981 OMT458978:OMT458981 OWP458978:OWP458981 PGL458978:PGL458981 PQH458978:PQH458981 QAD458978:QAD458981 QJZ458978:QJZ458981 QTV458978:QTV458981 RDR458978:RDR458981 RNN458978:RNN458981 RXJ458978:RXJ458981 SHF458978:SHF458981 SRB458978:SRB458981 TAX458978:TAX458981 TKT458978:TKT458981 TUP458978:TUP458981 UEL458978:UEL458981 UOH458978:UOH458981 UYD458978:UYD458981 VHZ458978:VHZ458981 VRV458978:VRV458981 WBR458978:WBR458981 WLN458978:WLN458981 WVJ458978:WVJ458981 B524514:B524517 IX524514:IX524517 ST524514:ST524517 ACP524514:ACP524517 AML524514:AML524517 AWH524514:AWH524517 BGD524514:BGD524517 BPZ524514:BPZ524517 BZV524514:BZV524517 CJR524514:CJR524517 CTN524514:CTN524517 DDJ524514:DDJ524517 DNF524514:DNF524517 DXB524514:DXB524517 EGX524514:EGX524517 EQT524514:EQT524517 FAP524514:FAP524517 FKL524514:FKL524517 FUH524514:FUH524517 GED524514:GED524517 GNZ524514:GNZ524517 GXV524514:GXV524517 HHR524514:HHR524517 HRN524514:HRN524517 IBJ524514:IBJ524517 ILF524514:ILF524517 IVB524514:IVB524517 JEX524514:JEX524517 JOT524514:JOT524517 JYP524514:JYP524517 KIL524514:KIL524517 KSH524514:KSH524517 LCD524514:LCD524517 LLZ524514:LLZ524517 LVV524514:LVV524517 MFR524514:MFR524517 MPN524514:MPN524517 MZJ524514:MZJ524517 NJF524514:NJF524517 NTB524514:NTB524517 OCX524514:OCX524517 OMT524514:OMT524517 OWP524514:OWP524517 PGL524514:PGL524517 PQH524514:PQH524517 QAD524514:QAD524517 QJZ524514:QJZ524517 QTV524514:QTV524517 RDR524514:RDR524517 RNN524514:RNN524517 RXJ524514:RXJ524517 SHF524514:SHF524517 SRB524514:SRB524517 TAX524514:TAX524517 TKT524514:TKT524517 TUP524514:TUP524517 UEL524514:UEL524517 UOH524514:UOH524517 UYD524514:UYD524517 VHZ524514:VHZ524517 VRV524514:VRV524517 WBR524514:WBR524517 WLN524514:WLN524517 WVJ524514:WVJ524517 B590050:B590053 IX590050:IX590053 ST590050:ST590053 ACP590050:ACP590053 AML590050:AML590053 AWH590050:AWH590053 BGD590050:BGD590053 BPZ590050:BPZ590053 BZV590050:BZV590053 CJR590050:CJR590053 CTN590050:CTN590053 DDJ590050:DDJ590053 DNF590050:DNF590053 DXB590050:DXB590053 EGX590050:EGX590053 EQT590050:EQT590053 FAP590050:FAP590053 FKL590050:FKL590053 FUH590050:FUH590053 GED590050:GED590053 GNZ590050:GNZ590053 GXV590050:GXV590053 HHR590050:HHR590053 HRN590050:HRN590053 IBJ590050:IBJ590053 ILF590050:ILF590053 IVB590050:IVB590053 JEX590050:JEX590053 JOT590050:JOT590053 JYP590050:JYP590053 KIL590050:KIL590053 KSH590050:KSH590053 LCD590050:LCD590053 LLZ590050:LLZ590053 LVV590050:LVV590053 MFR590050:MFR590053 MPN590050:MPN590053 MZJ590050:MZJ590053 NJF590050:NJF590053 NTB590050:NTB590053 OCX590050:OCX590053 OMT590050:OMT590053 OWP590050:OWP590053 PGL590050:PGL590053 PQH590050:PQH590053 QAD590050:QAD590053 QJZ590050:QJZ590053 QTV590050:QTV590053 RDR590050:RDR590053 RNN590050:RNN590053 RXJ590050:RXJ590053 SHF590050:SHF590053 SRB590050:SRB590053 TAX590050:TAX590053 TKT590050:TKT590053 TUP590050:TUP590053 UEL590050:UEL590053 UOH590050:UOH590053 UYD590050:UYD590053 VHZ590050:VHZ590053 VRV590050:VRV590053 WBR590050:WBR590053 WLN590050:WLN590053 WVJ590050:WVJ590053 B655586:B655589 IX655586:IX655589 ST655586:ST655589 ACP655586:ACP655589 AML655586:AML655589 AWH655586:AWH655589 BGD655586:BGD655589 BPZ655586:BPZ655589 BZV655586:BZV655589 CJR655586:CJR655589 CTN655586:CTN655589 DDJ655586:DDJ655589 DNF655586:DNF655589 DXB655586:DXB655589 EGX655586:EGX655589 EQT655586:EQT655589 FAP655586:FAP655589 FKL655586:FKL655589 FUH655586:FUH655589 GED655586:GED655589 GNZ655586:GNZ655589 GXV655586:GXV655589 HHR655586:HHR655589 HRN655586:HRN655589 IBJ655586:IBJ655589 ILF655586:ILF655589 IVB655586:IVB655589 JEX655586:JEX655589 JOT655586:JOT655589 JYP655586:JYP655589 KIL655586:KIL655589 KSH655586:KSH655589 LCD655586:LCD655589 LLZ655586:LLZ655589 LVV655586:LVV655589 MFR655586:MFR655589 MPN655586:MPN655589 MZJ655586:MZJ655589 NJF655586:NJF655589 NTB655586:NTB655589 OCX655586:OCX655589 OMT655586:OMT655589 OWP655586:OWP655589 PGL655586:PGL655589 PQH655586:PQH655589 QAD655586:QAD655589 QJZ655586:QJZ655589 QTV655586:QTV655589 RDR655586:RDR655589 RNN655586:RNN655589 RXJ655586:RXJ655589 SHF655586:SHF655589 SRB655586:SRB655589 TAX655586:TAX655589 TKT655586:TKT655589 TUP655586:TUP655589 UEL655586:UEL655589 UOH655586:UOH655589 UYD655586:UYD655589 VHZ655586:VHZ655589 VRV655586:VRV655589 WBR655586:WBR655589 WLN655586:WLN655589 WVJ655586:WVJ655589 B721122:B721125 IX721122:IX721125 ST721122:ST721125 ACP721122:ACP721125 AML721122:AML721125 AWH721122:AWH721125 BGD721122:BGD721125 BPZ721122:BPZ721125 BZV721122:BZV721125 CJR721122:CJR721125 CTN721122:CTN721125 DDJ721122:DDJ721125 DNF721122:DNF721125 DXB721122:DXB721125 EGX721122:EGX721125 EQT721122:EQT721125 FAP721122:FAP721125 FKL721122:FKL721125 FUH721122:FUH721125 GED721122:GED721125 GNZ721122:GNZ721125 GXV721122:GXV721125 HHR721122:HHR721125 HRN721122:HRN721125 IBJ721122:IBJ721125 ILF721122:ILF721125 IVB721122:IVB721125 JEX721122:JEX721125 JOT721122:JOT721125 JYP721122:JYP721125 KIL721122:KIL721125 KSH721122:KSH721125 LCD721122:LCD721125 LLZ721122:LLZ721125 LVV721122:LVV721125 MFR721122:MFR721125 MPN721122:MPN721125 MZJ721122:MZJ721125 NJF721122:NJF721125 NTB721122:NTB721125 OCX721122:OCX721125 OMT721122:OMT721125 OWP721122:OWP721125 PGL721122:PGL721125 PQH721122:PQH721125 QAD721122:QAD721125 QJZ721122:QJZ721125 QTV721122:QTV721125 RDR721122:RDR721125 RNN721122:RNN721125 RXJ721122:RXJ721125 SHF721122:SHF721125 SRB721122:SRB721125 TAX721122:TAX721125 TKT721122:TKT721125 TUP721122:TUP721125 UEL721122:UEL721125 UOH721122:UOH721125 UYD721122:UYD721125 VHZ721122:VHZ721125 VRV721122:VRV721125 WBR721122:WBR721125 WLN721122:WLN721125 WVJ721122:WVJ721125 B786658:B786661 IX786658:IX786661 ST786658:ST786661 ACP786658:ACP786661 AML786658:AML786661 AWH786658:AWH786661 BGD786658:BGD786661 BPZ786658:BPZ786661 BZV786658:BZV786661 CJR786658:CJR786661 CTN786658:CTN786661 DDJ786658:DDJ786661 DNF786658:DNF786661 DXB786658:DXB786661 EGX786658:EGX786661 EQT786658:EQT786661 FAP786658:FAP786661 FKL786658:FKL786661 FUH786658:FUH786661 GED786658:GED786661 GNZ786658:GNZ786661 GXV786658:GXV786661 HHR786658:HHR786661 HRN786658:HRN786661 IBJ786658:IBJ786661 ILF786658:ILF786661 IVB786658:IVB786661 JEX786658:JEX786661 JOT786658:JOT786661 JYP786658:JYP786661 KIL786658:KIL786661 KSH786658:KSH786661 LCD786658:LCD786661 LLZ786658:LLZ786661 LVV786658:LVV786661 MFR786658:MFR786661 MPN786658:MPN786661 MZJ786658:MZJ786661 NJF786658:NJF786661 NTB786658:NTB786661 OCX786658:OCX786661 OMT786658:OMT786661 OWP786658:OWP786661 PGL786658:PGL786661 PQH786658:PQH786661 QAD786658:QAD786661 QJZ786658:QJZ786661 QTV786658:QTV786661 RDR786658:RDR786661 RNN786658:RNN786661 RXJ786658:RXJ786661 SHF786658:SHF786661 SRB786658:SRB786661 TAX786658:TAX786661 TKT786658:TKT786661 TUP786658:TUP786661 UEL786658:UEL786661 UOH786658:UOH786661 UYD786658:UYD786661 VHZ786658:VHZ786661 VRV786658:VRV786661 WBR786658:WBR786661 WLN786658:WLN786661 WVJ786658:WVJ786661 B852194:B852197 IX852194:IX852197 ST852194:ST852197 ACP852194:ACP852197 AML852194:AML852197 AWH852194:AWH852197 BGD852194:BGD852197 BPZ852194:BPZ852197 BZV852194:BZV852197 CJR852194:CJR852197 CTN852194:CTN852197 DDJ852194:DDJ852197 DNF852194:DNF852197 DXB852194:DXB852197 EGX852194:EGX852197 EQT852194:EQT852197 FAP852194:FAP852197 FKL852194:FKL852197 FUH852194:FUH852197 GED852194:GED852197 GNZ852194:GNZ852197 GXV852194:GXV852197 HHR852194:HHR852197 HRN852194:HRN852197 IBJ852194:IBJ852197 ILF852194:ILF852197 IVB852194:IVB852197 JEX852194:JEX852197 JOT852194:JOT852197 JYP852194:JYP852197 KIL852194:KIL852197 KSH852194:KSH852197 LCD852194:LCD852197 LLZ852194:LLZ852197 LVV852194:LVV852197 MFR852194:MFR852197 MPN852194:MPN852197 MZJ852194:MZJ852197 NJF852194:NJF852197 NTB852194:NTB852197 OCX852194:OCX852197 OMT852194:OMT852197 OWP852194:OWP852197 PGL852194:PGL852197 PQH852194:PQH852197 QAD852194:QAD852197 QJZ852194:QJZ852197 QTV852194:QTV852197 RDR852194:RDR852197 RNN852194:RNN852197 RXJ852194:RXJ852197 SHF852194:SHF852197 SRB852194:SRB852197 TAX852194:TAX852197 TKT852194:TKT852197 TUP852194:TUP852197 UEL852194:UEL852197 UOH852194:UOH852197 UYD852194:UYD852197 VHZ852194:VHZ852197 VRV852194:VRV852197 WBR852194:WBR852197 WLN852194:WLN852197 WVJ852194:WVJ852197 B917730:B917733 IX917730:IX917733 ST917730:ST917733 ACP917730:ACP917733 AML917730:AML917733 AWH917730:AWH917733 BGD917730:BGD917733 BPZ917730:BPZ917733 BZV917730:BZV917733 CJR917730:CJR917733 CTN917730:CTN917733 DDJ917730:DDJ917733 DNF917730:DNF917733 DXB917730:DXB917733 EGX917730:EGX917733 EQT917730:EQT917733 FAP917730:FAP917733 FKL917730:FKL917733 FUH917730:FUH917733 GED917730:GED917733 GNZ917730:GNZ917733 GXV917730:GXV917733 HHR917730:HHR917733 HRN917730:HRN917733 IBJ917730:IBJ917733 ILF917730:ILF917733 IVB917730:IVB917733 JEX917730:JEX917733 JOT917730:JOT917733 JYP917730:JYP917733 KIL917730:KIL917733 KSH917730:KSH917733 LCD917730:LCD917733 LLZ917730:LLZ917733 LVV917730:LVV917733 MFR917730:MFR917733 MPN917730:MPN917733 MZJ917730:MZJ917733 NJF917730:NJF917733 NTB917730:NTB917733 OCX917730:OCX917733 OMT917730:OMT917733 OWP917730:OWP917733 PGL917730:PGL917733 PQH917730:PQH917733 QAD917730:QAD917733 QJZ917730:QJZ917733 QTV917730:QTV917733 RDR917730:RDR917733 RNN917730:RNN917733 RXJ917730:RXJ917733 SHF917730:SHF917733 SRB917730:SRB917733 TAX917730:TAX917733 TKT917730:TKT917733 TUP917730:TUP917733 UEL917730:UEL917733 UOH917730:UOH917733 UYD917730:UYD917733 VHZ917730:VHZ917733 VRV917730:VRV917733 WBR917730:WBR917733 WLN917730:WLN917733 WVJ917730:WVJ917733 B983266:B983269 IX983266:IX983269 ST983266:ST983269 ACP983266:ACP983269 AML983266:AML983269 AWH983266:AWH983269 BGD983266:BGD983269 BPZ983266:BPZ983269 BZV983266:BZV983269 CJR983266:CJR983269 CTN983266:CTN983269 DDJ983266:DDJ983269 DNF983266:DNF983269 DXB983266:DXB983269 EGX983266:EGX983269 EQT983266:EQT983269 FAP983266:FAP983269 FKL983266:FKL983269 FUH983266:FUH983269 GED983266:GED983269 GNZ983266:GNZ983269 GXV983266:GXV983269 HHR983266:HHR983269 HRN983266:HRN983269 IBJ983266:IBJ983269 ILF983266:ILF983269 IVB983266:IVB983269 JEX983266:JEX983269 JOT983266:JOT983269 JYP983266:JYP983269 KIL983266:KIL983269 KSH983266:KSH983269 LCD983266:LCD983269 LLZ983266:LLZ983269 LVV983266:LVV983269 MFR983266:MFR983269 MPN983266:MPN983269 MZJ983266:MZJ983269 NJF983266:NJF983269 NTB983266:NTB983269 OCX983266:OCX983269 OMT983266:OMT983269 OWP983266:OWP983269 PGL983266:PGL983269 PQH983266:PQH983269 QAD983266:QAD983269 QJZ983266:QJZ983269 QTV983266:QTV983269 RDR983266:RDR983269 RNN983266:RNN983269 RXJ983266:RXJ983269 SHF983266:SHF983269 SRB983266:SRB983269 TAX983266:TAX983269 TKT983266:TKT983269 TUP983266:TUP983269 UEL983266:UEL983269 UOH983266:UOH983269 UYD983266:UYD983269 VHZ983266:VHZ983269 VRV983266:VRV983269 WBR983266:WBR983269 WLN983266:WLN983269 B140 B518 IX518 ST518 ACP518 AML518 AWH518 BGD518 BPZ518 BZV518 CJR518 CTN518 DDJ518 DNF518 DXB518 EGX518 EQT518 FAP518 FKL518 FUH518 GED518 GNZ518 GXV518 HHR518 HRN518 IBJ518 ILF518 IVB518 JEX518 JOT518 JYP518 KIL518 KSH518 LCD518 LLZ518 LVV518 MFR518 MPN518 MZJ518 NJF518 NTB518 OCX518 OMT518 OWP518 PGL518 PQH518 QAD518 QJZ518 QTV518 RDR518 RNN518 RXJ518 SHF518 SRB518 TAX518 TKT518 TUP518 UEL518 UOH518 UYD518 VHZ518 VRV518 WBR518 WLN518 WVJ518 B531 IX531 ST531 ACP531 AML531 AWH531 BGD531 BPZ531 BZV531 CJR531 CTN531 DDJ531 DNF531 DXB531 EGX531 EQT531 FAP531 FKL531 FUH531 GED531 GNZ531 GXV531 HHR531 HRN531 IBJ531 ILF531 IVB531 JEX531 JOT531 JYP531 KIL531 KSH531 LCD531 LLZ531 LVV531 MFR531 MPN531 MZJ531 NJF531 NTB531 OCX531 OMT531 OWP531 PGL531 PQH531 QAD531 QJZ531 QTV531 RDR531 RNN531 RXJ531 SHF531 SRB531 TAX531 TKT531 TUP531 UEL531 UOH531 UYD531 VHZ531 VRV531 WBR531 WLN531 WVJ531 B545:B546 IX545:IX546 ST545:ST546 ACP545:ACP546 AML545:AML546 AWH545:AWH546 BGD545:BGD546 BPZ545:BPZ546 BZV545:BZV546 CJR545:CJR546 CTN545:CTN546 DDJ545:DDJ546 DNF545:DNF546 DXB545:DXB546 EGX545:EGX546 EQT545:EQT546 FAP545:FAP546 FKL545:FKL546 FUH545:FUH546 GED545:GED546 GNZ545:GNZ546 GXV545:GXV546 HHR545:HHR546 HRN545:HRN546 IBJ545:IBJ546 ILF545:ILF546 IVB545:IVB546 JEX545:JEX546 JOT545:JOT546 JYP545:JYP546 KIL545:KIL546 KSH545:KSH546 LCD545:LCD546 LLZ545:LLZ546 LVV545:LVV546 MFR545:MFR546 MPN545:MPN546 MZJ545:MZJ546 NJF545:NJF546 NTB545:NTB546 OCX545:OCX546 OMT545:OMT546 OWP545:OWP546 PGL545:PGL546 PQH545:PQH546 QAD545:QAD546 QJZ545:QJZ546 QTV545:QTV546 RDR545:RDR546 RNN545:RNN546 RXJ545:RXJ546 SHF545:SHF546 SRB545:SRB546 TAX545:TAX546 TKT545:TKT546 TUP545:TUP546 UEL545:UEL546 UOH545:UOH546 UYD545:UYD546 VHZ545:VHZ546 VRV545:VRV546 WBR545:WBR546 WLN545:WLN546 WVJ545:WVJ546">
      <formula1>"ø³Ý³Ï³Ï³Ý"</formula1>
    </dataValidation>
  </dataValidations>
  <hyperlinks>
    <hyperlink ref="B111" location="_ftn4" display="_ftn4"/>
    <hyperlink ref="B124" location="_ftn4" display="_ftn4"/>
    <hyperlink ref="B583" location="_ftn4" display="_ftn4"/>
    <hyperlink ref="B174" location="_ftn4" display="_ftn4"/>
    <hyperlink ref="B172" location="_ftn3" display="_ftn3"/>
    <hyperlink ref="B405" location="_ftn3" display="_ftn3"/>
    <hyperlink ref="B376" location="_ftn3" display="_ftn3"/>
    <hyperlink ref="B378" location="_ftn4" display="_ftn4"/>
    <hyperlink ref="B195" location="_ftn4" display="_ftn4"/>
    <hyperlink ref="B196" location="_ftn4" display="_ftn4"/>
    <hyperlink ref="B197" location="_ftn4" display="_ftn4"/>
    <hyperlink ref="B140" location="_ftn4" display="_ftn4"/>
    <hyperlink ref="B151" location="_ftn3" display="_ftn3"/>
    <hyperlink ref="B155" location="_ftn4" display="_ftn4"/>
    <hyperlink ref="B153" location="_ftn4" display="_ftn4"/>
    <hyperlink ref="B154" location="_ftn4" display="_ftn4"/>
    <hyperlink ref="B430" location="_ftn4" display="_ftn4"/>
    <hyperlink ref="B503" location="_ftn4" display="_ftn4"/>
    <hyperlink ref="B518" location="_ftn4" display="_ftn4"/>
    <hyperlink ref="B531" location="_ftn4" display="_ftn4"/>
    <hyperlink ref="B545" location="_ftn4" display="_ftn4"/>
    <hyperlink ref="B565" location="_ftn4" display="_ftn4"/>
  </hyperlinks>
  <pageMargins left="0.23622047244094491" right="0.15748031496062992" top="0.23622047244094491" bottom="0.23622047244094491" header="0.19685039370078741" footer="0.31496062992125984"/>
  <pageSetup paperSize="9" scale="80" orientation="landscape" verticalDpi="12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29"/>
  <sheetViews>
    <sheetView zoomScale="87" zoomScaleNormal="87" workbookViewId="0">
      <selection activeCell="I33" sqref="I33"/>
    </sheetView>
  </sheetViews>
  <sheetFormatPr defaultRowHeight="14.25"/>
  <cols>
    <col min="1" max="1" width="4" style="1427" customWidth="1"/>
    <col min="2" max="2" width="29.42578125" style="1427" customWidth="1"/>
    <col min="3" max="3" width="42.5703125" style="1427" customWidth="1"/>
    <col min="4" max="4" width="33.140625" style="1427" customWidth="1"/>
    <col min="5" max="5" width="11.42578125" style="1427" customWidth="1"/>
    <col min="6" max="6" width="12.28515625" style="1427" customWidth="1"/>
    <col min="7" max="7" width="12.7109375" style="1427" customWidth="1"/>
    <col min="8" max="8" width="13.85546875" style="1427" customWidth="1"/>
    <col min="9" max="9" width="30" style="1427" customWidth="1"/>
    <col min="10" max="16384" width="9.140625" style="1427"/>
  </cols>
  <sheetData>
    <row r="1" spans="2:9">
      <c r="B1" s="1445" t="s">
        <v>456</v>
      </c>
    </row>
    <row r="3" spans="2:9" ht="32.25" customHeight="1">
      <c r="B3" s="1447" t="s">
        <v>690</v>
      </c>
      <c r="C3" s="1434">
        <v>104006</v>
      </c>
    </row>
    <row r="4" spans="2:9" ht="21.75" customHeight="1">
      <c r="B4" s="1447" t="s">
        <v>455</v>
      </c>
      <c r="C4" s="1446" t="s">
        <v>606</v>
      </c>
    </row>
    <row r="6" spans="2:9">
      <c r="B6" s="1445" t="s">
        <v>689</v>
      </c>
    </row>
    <row r="7" spans="2:9">
      <c r="B7" s="1445"/>
    </row>
    <row r="8" spans="2:9" ht="24" customHeight="1">
      <c r="B8" s="1442" t="s">
        <v>688</v>
      </c>
      <c r="C8" s="1442" t="s">
        <v>687</v>
      </c>
      <c r="D8" s="1441" t="s">
        <v>686</v>
      </c>
      <c r="E8" s="1444"/>
      <c r="F8" s="1444"/>
      <c r="G8" s="1444"/>
      <c r="H8" s="1440"/>
      <c r="I8" s="2149" t="s">
        <v>685</v>
      </c>
    </row>
    <row r="9" spans="2:9">
      <c r="B9" s="1443"/>
      <c r="C9" s="1443"/>
      <c r="D9" s="1442" t="s">
        <v>684</v>
      </c>
      <c r="E9" s="1441" t="s">
        <v>683</v>
      </c>
      <c r="F9" s="1440"/>
      <c r="G9" s="1441" t="s">
        <v>682</v>
      </c>
      <c r="H9" s="1440"/>
      <c r="I9" s="2150"/>
    </row>
    <row r="10" spans="2:9" ht="30" customHeight="1">
      <c r="B10" s="1439"/>
      <c r="C10" s="1439"/>
      <c r="D10" s="1439"/>
      <c r="E10" s="1438" t="s">
        <v>681</v>
      </c>
      <c r="F10" s="1438" t="s">
        <v>680</v>
      </c>
      <c r="G10" s="1438" t="s">
        <v>681</v>
      </c>
      <c r="H10" s="1438" t="s">
        <v>680</v>
      </c>
      <c r="I10" s="2151"/>
    </row>
    <row r="11" spans="2:9" ht="81.75" customHeight="1">
      <c r="B11" s="1204" t="s">
        <v>439</v>
      </c>
      <c r="C11" s="1434" t="s">
        <v>679</v>
      </c>
      <c r="D11" s="1095" t="s">
        <v>678</v>
      </c>
      <c r="E11" s="1432">
        <v>70</v>
      </c>
      <c r="F11" s="1433">
        <v>2019</v>
      </c>
      <c r="G11" s="1432">
        <v>87</v>
      </c>
      <c r="H11" s="1432">
        <v>2023</v>
      </c>
      <c r="I11" s="1432" t="s">
        <v>660</v>
      </c>
    </row>
    <row r="12" spans="2:9" s="1370" customFormat="1" ht="107.25" customHeight="1">
      <c r="B12" s="2140" t="s">
        <v>432</v>
      </c>
      <c r="C12" s="2140" t="s">
        <v>677</v>
      </c>
      <c r="D12" s="1124" t="s">
        <v>676</v>
      </c>
      <c r="E12" s="1433">
        <v>85</v>
      </c>
      <c r="F12" s="1433">
        <v>2019</v>
      </c>
      <c r="G12" s="1365">
        <v>90</v>
      </c>
      <c r="H12" s="1432">
        <v>2023</v>
      </c>
      <c r="I12" s="2152" t="s">
        <v>675</v>
      </c>
    </row>
    <row r="13" spans="2:9" s="1370" customFormat="1" ht="67.5" customHeight="1">
      <c r="B13" s="2141"/>
      <c r="C13" s="2141"/>
      <c r="D13" s="1125" t="s">
        <v>674</v>
      </c>
      <c r="E13" s="1433">
        <v>50</v>
      </c>
      <c r="F13" s="1433">
        <v>2019</v>
      </c>
      <c r="G13" s="1433">
        <v>60</v>
      </c>
      <c r="H13" s="1432">
        <v>2023</v>
      </c>
      <c r="I13" s="2153"/>
    </row>
    <row r="14" spans="2:9" ht="69" customHeight="1">
      <c r="B14" s="1435" t="s">
        <v>426</v>
      </c>
      <c r="C14" s="1434" t="s">
        <v>673</v>
      </c>
      <c r="D14" s="1149"/>
      <c r="E14" s="1432"/>
      <c r="F14" s="1433">
        <v>2019</v>
      </c>
      <c r="G14" s="1432"/>
      <c r="H14" s="1432">
        <v>2023</v>
      </c>
      <c r="I14" s="1432"/>
    </row>
    <row r="15" spans="2:9" ht="78" customHeight="1">
      <c r="B15" s="1435" t="s">
        <v>418</v>
      </c>
      <c r="C15" s="1434" t="s">
        <v>672</v>
      </c>
      <c r="D15" s="1149" t="s">
        <v>671</v>
      </c>
      <c r="E15" s="1437">
        <v>61</v>
      </c>
      <c r="F15" s="1433">
        <v>2019</v>
      </c>
      <c r="G15" s="1437">
        <v>77</v>
      </c>
      <c r="H15" s="1432">
        <v>2023</v>
      </c>
      <c r="I15" s="1432" t="s">
        <v>660</v>
      </c>
    </row>
    <row r="16" spans="2:9" ht="38.25" customHeight="1">
      <c r="B16" s="2142" t="s">
        <v>413</v>
      </c>
      <c r="C16" s="2143" t="s">
        <v>670</v>
      </c>
      <c r="D16" s="1149" t="s">
        <v>669</v>
      </c>
      <c r="E16" s="1437">
        <v>5455</v>
      </c>
      <c r="F16" s="1433">
        <v>2019</v>
      </c>
      <c r="G16" s="1432">
        <v>1000</v>
      </c>
      <c r="H16" s="1432">
        <v>2023</v>
      </c>
      <c r="I16" s="2146" t="s">
        <v>660</v>
      </c>
    </row>
    <row r="17" spans="2:9" ht="32.25" customHeight="1">
      <c r="B17" s="2142"/>
      <c r="C17" s="2144"/>
      <c r="D17" s="1149" t="s">
        <v>668</v>
      </c>
      <c r="E17" s="1437">
        <v>10</v>
      </c>
      <c r="F17" s="1433">
        <v>2019</v>
      </c>
      <c r="G17" s="1437">
        <v>23</v>
      </c>
      <c r="H17" s="1432">
        <v>2023</v>
      </c>
      <c r="I17" s="2147"/>
    </row>
    <row r="18" spans="2:9" ht="56.25" customHeight="1">
      <c r="B18" s="2142" t="s">
        <v>383</v>
      </c>
      <c r="C18" s="2145" t="s">
        <v>667</v>
      </c>
      <c r="D18" s="1125" t="s">
        <v>666</v>
      </c>
      <c r="E18" s="1118">
        <v>15198</v>
      </c>
      <c r="F18" s="1118">
        <v>2019</v>
      </c>
      <c r="G18" s="1118">
        <v>1000</v>
      </c>
      <c r="H18" s="1118">
        <v>2023</v>
      </c>
      <c r="I18" s="2146" t="s">
        <v>660</v>
      </c>
    </row>
    <row r="19" spans="2:9" ht="42" customHeight="1">
      <c r="B19" s="2142"/>
      <c r="C19" s="2145"/>
      <c r="D19" s="1125" t="s">
        <v>665</v>
      </c>
      <c r="E19" s="1118">
        <v>661173.9</v>
      </c>
      <c r="F19" s="1118">
        <v>2019</v>
      </c>
      <c r="G19" s="1436">
        <v>250000</v>
      </c>
      <c r="H19" s="1118">
        <v>2023</v>
      </c>
      <c r="I19" s="2148"/>
    </row>
    <row r="20" spans="2:9" ht="54" customHeight="1">
      <c r="B20" s="2142"/>
      <c r="C20" s="2145"/>
      <c r="D20" s="1125" t="s">
        <v>664</v>
      </c>
      <c r="E20" s="1118">
        <v>150</v>
      </c>
      <c r="F20" s="1118">
        <v>2020</v>
      </c>
      <c r="G20" s="1436">
        <v>1650</v>
      </c>
      <c r="H20" s="1118">
        <v>2023</v>
      </c>
      <c r="I20" s="2147"/>
    </row>
    <row r="21" spans="2:9" ht="74.25" customHeight="1">
      <c r="B21" s="1435" t="s">
        <v>663</v>
      </c>
      <c r="C21" s="1434" t="s">
        <v>662</v>
      </c>
      <c r="D21" s="1136" t="s">
        <v>661</v>
      </c>
      <c r="E21" s="1432">
        <v>17</v>
      </c>
      <c r="F21" s="1433">
        <v>2019</v>
      </c>
      <c r="G21" s="1432">
        <v>26</v>
      </c>
      <c r="H21" s="1432">
        <v>2023</v>
      </c>
      <c r="I21" s="1432" t="s">
        <v>660</v>
      </c>
    </row>
    <row r="22" spans="2:9">
      <c r="B22" s="1431"/>
    </row>
    <row r="24" spans="2:9">
      <c r="D24" s="1428"/>
      <c r="E24" s="1428"/>
      <c r="F24" s="1428"/>
      <c r="G24" s="1428"/>
      <c r="H24" s="1428"/>
      <c r="I24" s="1428"/>
    </row>
    <row r="25" spans="2:9">
      <c r="D25" s="1428"/>
      <c r="E25" s="1429"/>
      <c r="F25" s="1429"/>
      <c r="G25" s="1429"/>
      <c r="H25" s="1429"/>
      <c r="I25" s="1428"/>
    </row>
    <row r="26" spans="2:9">
      <c r="D26" s="1428"/>
      <c r="E26" s="1429"/>
      <c r="F26" s="1429"/>
      <c r="G26" s="1430"/>
      <c r="H26" s="1429"/>
      <c r="I26" s="1428"/>
    </row>
    <row r="27" spans="2:9">
      <c r="D27" s="1428"/>
      <c r="E27" s="1429"/>
      <c r="F27" s="1429"/>
      <c r="G27" s="1430"/>
      <c r="H27" s="1429"/>
      <c r="I27" s="1428"/>
    </row>
    <row r="28" spans="2:9">
      <c r="D28" s="1428"/>
      <c r="E28" s="1428"/>
      <c r="F28" s="1428"/>
      <c r="G28" s="1428"/>
      <c r="H28" s="1428"/>
      <c r="I28" s="1428"/>
    </row>
    <row r="29" spans="2:9">
      <c r="D29" s="1428"/>
      <c r="E29" s="1428"/>
      <c r="F29" s="1428"/>
      <c r="G29" s="1428"/>
      <c r="H29" s="1428"/>
      <c r="I29" s="1428"/>
    </row>
  </sheetData>
  <mergeCells count="10">
    <mergeCell ref="I16:I17"/>
    <mergeCell ref="I18:I20"/>
    <mergeCell ref="I8:I10"/>
    <mergeCell ref="I12:I13"/>
    <mergeCell ref="C12:C13"/>
    <mergeCell ref="B12:B13"/>
    <mergeCell ref="B16:B17"/>
    <mergeCell ref="C16:C17"/>
    <mergeCell ref="B18:B20"/>
    <mergeCell ref="C18:C20"/>
  </mergeCells>
  <pageMargins left="0.23622047244094491" right="0.15748031496062992" top="0.27559055118110237" bottom="0.2" header="0.31496062992125984" footer="0.24"/>
  <pageSetup paperSize="9" scale="75" orientation="landscape" verticalDpi="0"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4" zoomScaleNormal="100" workbookViewId="0">
      <selection activeCell="D12" sqref="D12:E12"/>
    </sheetView>
  </sheetViews>
  <sheetFormatPr defaultRowHeight="14.25"/>
  <cols>
    <col min="1" max="1" width="2.5703125" style="1427" customWidth="1"/>
    <col min="2" max="2" width="9" style="1427" customWidth="1"/>
    <col min="3" max="3" width="12.42578125" style="1427" customWidth="1"/>
    <col min="4" max="4" width="11.85546875" style="1427" customWidth="1"/>
    <col min="5" max="5" width="48.85546875" style="1427" customWidth="1"/>
    <col min="6" max="6" width="13.5703125" style="1427" customWidth="1"/>
    <col min="7" max="16384" width="9.140625" style="1427"/>
  </cols>
  <sheetData>
    <row r="1" spans="2:6">
      <c r="C1" s="1499"/>
      <c r="D1" s="1499"/>
      <c r="E1" s="1499"/>
      <c r="F1" s="1498" t="s">
        <v>701</v>
      </c>
    </row>
    <row r="2" spans="2:6">
      <c r="C2" s="1497"/>
      <c r="D2" s="1497"/>
      <c r="E2" s="1496"/>
      <c r="F2" s="1496"/>
    </row>
    <row r="3" spans="2:6">
      <c r="B3" s="1494"/>
      <c r="C3" s="1495"/>
      <c r="D3" s="1495"/>
      <c r="E3" s="1494"/>
      <c r="F3" s="1494"/>
    </row>
    <row r="4" spans="2:6" ht="24.75" customHeight="1">
      <c r="B4" s="2164" t="s">
        <v>659</v>
      </c>
      <c r="C4" s="2164"/>
      <c r="D4" s="2164"/>
      <c r="E4" s="1446">
        <v>104006</v>
      </c>
      <c r="F4" s="1494"/>
    </row>
    <row r="5" spans="2:6" ht="27" customHeight="1">
      <c r="B5" s="2164" t="s">
        <v>658</v>
      </c>
      <c r="C5" s="2164"/>
      <c r="D5" s="2164"/>
      <c r="E5" s="1446" t="s">
        <v>454</v>
      </c>
      <c r="F5" s="1494"/>
    </row>
    <row r="6" spans="2:6">
      <c r="C6" s="1495"/>
      <c r="D6" s="1495"/>
      <c r="E6" s="1494"/>
      <c r="F6" s="1494"/>
    </row>
    <row r="7" spans="2:6" ht="30.75" customHeight="1">
      <c r="B7" s="2165" t="s">
        <v>700</v>
      </c>
      <c r="C7" s="2165"/>
      <c r="D7" s="2165"/>
      <c r="E7" s="2165"/>
      <c r="F7" s="2165"/>
    </row>
    <row r="8" spans="2:6">
      <c r="B8" s="1494"/>
      <c r="C8" s="1494"/>
      <c r="D8" s="1494"/>
      <c r="E8" s="1494"/>
      <c r="F8" s="1494"/>
    </row>
    <row r="9" spans="2:6" ht="15" customHeight="1">
      <c r="B9" s="2166" t="s">
        <v>699</v>
      </c>
      <c r="C9" s="2167"/>
      <c r="D9" s="2168" t="s">
        <v>698</v>
      </c>
      <c r="E9" s="2169"/>
      <c r="F9" s="2172" t="s">
        <v>697</v>
      </c>
    </row>
    <row r="10" spans="2:6" ht="25.5" customHeight="1">
      <c r="B10" s="1493" t="s">
        <v>360</v>
      </c>
      <c r="C10" s="1493" t="s">
        <v>696</v>
      </c>
      <c r="D10" s="2170"/>
      <c r="E10" s="2171"/>
      <c r="F10" s="2173"/>
    </row>
    <row r="11" spans="2:6" ht="21" customHeight="1">
      <c r="B11" s="1492" t="s">
        <v>695</v>
      </c>
      <c r="C11" s="1491"/>
      <c r="D11" s="1490"/>
      <c r="E11" s="1490"/>
      <c r="F11" s="1489">
        <f>F20+F12+F17+F74+F27+F30+F57</f>
        <v>12631225.751506999</v>
      </c>
    </row>
    <row r="12" spans="2:6" s="1448" customFormat="1" ht="25.5" customHeight="1">
      <c r="B12" s="1488">
        <v>1016</v>
      </c>
      <c r="C12" s="1487"/>
      <c r="D12" s="2154" t="s">
        <v>656</v>
      </c>
      <c r="E12" s="2154"/>
      <c r="F12" s="1459">
        <f>F13+F15</f>
        <v>685882.70000000007</v>
      </c>
    </row>
    <row r="13" spans="2:6" s="1448" customFormat="1" ht="27.75" customHeight="1">
      <c r="B13" s="1482"/>
      <c r="C13" s="1455">
        <v>11001</v>
      </c>
      <c r="D13" s="2155" t="s">
        <v>437</v>
      </c>
      <c r="E13" s="2155"/>
      <c r="F13" s="1454">
        <f>'Havelvac 3 mas 4 ՄԺԾԾ'!I25</f>
        <v>45461.8</v>
      </c>
    </row>
    <row r="14" spans="2:6" s="1448" customFormat="1">
      <c r="B14" s="1482"/>
      <c r="C14" s="1452"/>
      <c r="D14" s="1451"/>
      <c r="E14" s="1457" t="s">
        <v>454</v>
      </c>
      <c r="F14" s="1449"/>
    </row>
    <row r="15" spans="2:6" s="1448" customFormat="1" ht="21" customHeight="1">
      <c r="B15" s="1482"/>
      <c r="C15" s="1455">
        <v>11002</v>
      </c>
      <c r="D15" s="2155" t="s">
        <v>435</v>
      </c>
      <c r="E15" s="2155"/>
      <c r="F15" s="1454">
        <f>'Havelvac 3 mas 4 ՄԺԾԾ'!I52</f>
        <v>640420.9</v>
      </c>
    </row>
    <row r="16" spans="2:6" s="1448" customFormat="1">
      <c r="B16" s="1480"/>
      <c r="C16" s="1452"/>
      <c r="D16" s="1451"/>
      <c r="E16" s="1457" t="s">
        <v>454</v>
      </c>
      <c r="F16" s="1449"/>
    </row>
    <row r="17" spans="2:9" s="1448" customFormat="1" ht="19.5" customHeight="1">
      <c r="B17" s="1461">
        <v>1020</v>
      </c>
      <c r="C17" s="1487"/>
      <c r="D17" s="2154" t="s">
        <v>634</v>
      </c>
      <c r="E17" s="2154"/>
      <c r="F17" s="1459">
        <f>F18</f>
        <v>1352300</v>
      </c>
    </row>
    <row r="18" spans="2:9" s="1448" customFormat="1" ht="21" customHeight="1">
      <c r="B18" s="1456"/>
      <c r="C18" s="1455">
        <v>11001</v>
      </c>
      <c r="D18" s="2155" t="s">
        <v>634</v>
      </c>
      <c r="E18" s="2155"/>
      <c r="F18" s="1454">
        <f>'Havelvac 3 mas 4 ՄԺԾԾ'!I82</f>
        <v>1352300</v>
      </c>
    </row>
    <row r="19" spans="2:9" s="1448" customFormat="1">
      <c r="B19" s="1453"/>
      <c r="C19" s="1452"/>
      <c r="D19" s="1451"/>
      <c r="E19" s="1457" t="s">
        <v>454</v>
      </c>
      <c r="F19" s="1449"/>
    </row>
    <row r="20" spans="2:9" s="1448" customFormat="1" ht="27.75" customHeight="1">
      <c r="B20" s="1486">
        <v>1071</v>
      </c>
      <c r="C20" s="1460"/>
      <c r="D20" s="2161" t="s">
        <v>427</v>
      </c>
      <c r="E20" s="2162"/>
      <c r="F20" s="1485">
        <f>F21+F23+F25</f>
        <v>1196064.0115070001</v>
      </c>
    </row>
    <row r="21" spans="2:9" s="1448" customFormat="1" ht="31.5" customHeight="1">
      <c r="B21" s="1482"/>
      <c r="C21" s="1479">
        <v>11001</v>
      </c>
      <c r="D21" s="2163" t="s">
        <v>424</v>
      </c>
      <c r="E21" s="2163"/>
      <c r="F21" s="1484">
        <f>'Havelvac 3 mas 4 ՄԺԾԾ'!I99</f>
        <v>1081082.7118768999</v>
      </c>
    </row>
    <row r="22" spans="2:9" s="1448" customFormat="1">
      <c r="B22" s="1482"/>
      <c r="C22" s="1483"/>
      <c r="D22" s="1451"/>
      <c r="E22" s="1457" t="s">
        <v>454</v>
      </c>
      <c r="F22" s="1449"/>
    </row>
    <row r="23" spans="2:9" s="1448" customFormat="1" ht="22.5" customHeight="1">
      <c r="B23" s="1482"/>
      <c r="C23" s="1481">
        <v>11002</v>
      </c>
      <c r="D23" s="2155" t="s">
        <v>422</v>
      </c>
      <c r="E23" s="2155"/>
      <c r="F23" s="1454">
        <f>'Havelvac 3 mas 4 ՄԺԾԾ'!I112</f>
        <v>99042.700430099998</v>
      </c>
    </row>
    <row r="24" spans="2:9" s="1448" customFormat="1">
      <c r="B24" s="1482"/>
      <c r="C24" s="1483"/>
      <c r="D24" s="1451"/>
      <c r="E24" s="1457" t="s">
        <v>454</v>
      </c>
      <c r="F24" s="1449"/>
    </row>
    <row r="25" spans="2:9" s="1448" customFormat="1" ht="26.25" customHeight="1">
      <c r="B25" s="1482"/>
      <c r="C25" s="1481">
        <v>31001</v>
      </c>
      <c r="D25" s="2155" t="s">
        <v>420</v>
      </c>
      <c r="E25" s="2155"/>
      <c r="F25" s="1454">
        <f>'Havelvac 3 mas 4 ՄԺԾԾ'!I128</f>
        <v>15938.599200000001</v>
      </c>
      <c r="I25" s="1448" t="s">
        <v>428</v>
      </c>
    </row>
    <row r="26" spans="2:9" s="1448" customFormat="1">
      <c r="B26" s="1480"/>
      <c r="C26" s="1479"/>
      <c r="D26" s="1451"/>
      <c r="E26" s="1457" t="s">
        <v>454</v>
      </c>
      <c r="F26" s="1449"/>
    </row>
    <row r="27" spans="2:9" s="1448" customFormat="1" ht="19.5" customHeight="1">
      <c r="B27" s="1461">
        <v>1133</v>
      </c>
      <c r="C27" s="1460"/>
      <c r="D27" s="2154" t="s">
        <v>419</v>
      </c>
      <c r="E27" s="2154"/>
      <c r="F27" s="1459">
        <f>F28</f>
        <v>633955</v>
      </c>
    </row>
    <row r="28" spans="2:9" s="1448" customFormat="1" ht="21" customHeight="1">
      <c r="B28" s="1456"/>
      <c r="C28" s="1458">
        <v>12001</v>
      </c>
      <c r="D28" s="2155" t="s">
        <v>416</v>
      </c>
      <c r="E28" s="2155"/>
      <c r="F28" s="1454">
        <f>'Havelvac 3 mas 4 ՄԺԾԾ'!I176</f>
        <v>633955</v>
      </c>
    </row>
    <row r="29" spans="2:9" s="1448" customFormat="1">
      <c r="B29" s="1453"/>
      <c r="C29" s="1452"/>
      <c r="D29" s="1451"/>
      <c r="E29" s="1457" t="s">
        <v>454</v>
      </c>
      <c r="F29" s="1449"/>
    </row>
    <row r="30" spans="2:9" s="1448" customFormat="1" ht="29.25" customHeight="1">
      <c r="B30" s="1461">
        <v>1155</v>
      </c>
      <c r="C30" s="1460"/>
      <c r="D30" s="2154" t="s">
        <v>414</v>
      </c>
      <c r="E30" s="2154"/>
      <c r="F30" s="1459">
        <f>F31+F33+F35+F37+F39+F41+F43+F45+F47+F49+F51+F53+F55</f>
        <v>3574038.9400000004</v>
      </c>
    </row>
    <row r="31" spans="2:9" s="1448" customFormat="1" ht="66.75" customHeight="1">
      <c r="B31" s="1456"/>
      <c r="C31" s="1458">
        <v>11001</v>
      </c>
      <c r="D31" s="2155" t="s">
        <v>411</v>
      </c>
      <c r="E31" s="2155"/>
      <c r="F31" s="1454">
        <f>'Havelvac 3 mas 4 ՄԺԾԾ'!I199</f>
        <v>546828.93999999994</v>
      </c>
    </row>
    <row r="32" spans="2:9" s="1448" customFormat="1">
      <c r="B32" s="1456"/>
      <c r="C32" s="1452"/>
      <c r="D32" s="1451"/>
      <c r="E32" s="1457" t="s">
        <v>454</v>
      </c>
      <c r="F32" s="1449"/>
    </row>
    <row r="33" spans="2:6" s="1448" customFormat="1" ht="21" customHeight="1">
      <c r="B33" s="1456"/>
      <c r="C33" s="1455">
        <v>11002</v>
      </c>
      <c r="D33" s="2155" t="s">
        <v>409</v>
      </c>
      <c r="E33" s="2155"/>
      <c r="F33" s="1454">
        <f>'Havelvac 3 mas 4 ՄԺԾԾ'!I214</f>
        <v>216804.1</v>
      </c>
    </row>
    <row r="34" spans="2:6" s="1448" customFormat="1">
      <c r="B34" s="1456"/>
      <c r="C34" s="1452"/>
      <c r="D34" s="1451"/>
      <c r="E34" s="1457" t="s">
        <v>454</v>
      </c>
      <c r="F34" s="1449"/>
    </row>
    <row r="35" spans="2:6" s="1448" customFormat="1" ht="27" customHeight="1">
      <c r="B35" s="1456"/>
      <c r="C35" s="1455">
        <v>11003</v>
      </c>
      <c r="D35" s="2155" t="s">
        <v>407</v>
      </c>
      <c r="E35" s="2155"/>
      <c r="F35" s="1454">
        <f>'Havelvac 3 mas 4 ՄԺԾԾ'!I228</f>
        <v>7590.4</v>
      </c>
    </row>
    <row r="36" spans="2:6" s="1448" customFormat="1">
      <c r="B36" s="1456"/>
      <c r="C36" s="1452"/>
      <c r="D36" s="1451"/>
      <c r="E36" s="1457" t="s">
        <v>454</v>
      </c>
      <c r="F36" s="1449"/>
    </row>
    <row r="37" spans="2:6" s="1448" customFormat="1" ht="40.5" customHeight="1">
      <c r="B37" s="1456"/>
      <c r="C37" s="1455">
        <v>11004</v>
      </c>
      <c r="D37" s="2155" t="s">
        <v>405</v>
      </c>
      <c r="E37" s="2155"/>
      <c r="F37" s="1454">
        <f>'Havelvac 3 mas 4 ՄԺԾԾ'!I249</f>
        <v>303897.7</v>
      </c>
    </row>
    <row r="38" spans="2:6" s="1448" customFormat="1">
      <c r="B38" s="1456"/>
      <c r="C38" s="1452"/>
      <c r="D38" s="1451"/>
      <c r="E38" s="1457" t="s">
        <v>454</v>
      </c>
      <c r="F38" s="1449"/>
    </row>
    <row r="39" spans="2:6" s="1448" customFormat="1" ht="40.5" customHeight="1">
      <c r="B39" s="1456"/>
      <c r="C39" s="1455">
        <v>11005</v>
      </c>
      <c r="D39" s="2155" t="s">
        <v>403</v>
      </c>
      <c r="E39" s="2155"/>
      <c r="F39" s="1454">
        <f>'Havelvac 3 mas 4 ՄԺԾԾ'!I268</f>
        <v>164366.29999999999</v>
      </c>
    </row>
    <row r="40" spans="2:6" s="1448" customFormat="1">
      <c r="B40" s="1456"/>
      <c r="C40" s="1452"/>
      <c r="D40" s="1451"/>
      <c r="E40" s="1457" t="s">
        <v>454</v>
      </c>
      <c r="F40" s="1449"/>
    </row>
    <row r="41" spans="2:6" s="1448" customFormat="1" ht="40.5" customHeight="1">
      <c r="B41" s="1456"/>
      <c r="C41" s="1455">
        <v>11006</v>
      </c>
      <c r="D41" s="2155" t="s">
        <v>401</v>
      </c>
      <c r="E41" s="2155"/>
      <c r="F41" s="1454">
        <f>'Havelvac 3 mas 4 ՄԺԾԾ'!I287</f>
        <v>388284.1</v>
      </c>
    </row>
    <row r="42" spans="2:6" s="1448" customFormat="1">
      <c r="B42" s="1456"/>
      <c r="C42" s="1452"/>
      <c r="D42" s="1451"/>
      <c r="E42" s="1457" t="s">
        <v>454</v>
      </c>
      <c r="F42" s="1449"/>
    </row>
    <row r="43" spans="2:6" s="1448" customFormat="1" ht="36" customHeight="1">
      <c r="B43" s="1456"/>
      <c r="C43" s="1455">
        <v>11007</v>
      </c>
      <c r="D43" s="2155" t="s">
        <v>399</v>
      </c>
      <c r="E43" s="2155"/>
      <c r="F43" s="1454">
        <f>'Havelvac 3 mas 4 ՄԺԾԾ'!I305</f>
        <v>171532.79999999999</v>
      </c>
    </row>
    <row r="44" spans="2:6" s="1448" customFormat="1">
      <c r="B44" s="1456"/>
      <c r="C44" s="1452"/>
      <c r="D44" s="1451"/>
      <c r="E44" s="1457" t="s">
        <v>454</v>
      </c>
      <c r="F44" s="1449"/>
    </row>
    <row r="45" spans="2:6" s="1448" customFormat="1" ht="35.25" customHeight="1">
      <c r="B45" s="1456"/>
      <c r="C45" s="1455">
        <v>11008</v>
      </c>
      <c r="D45" s="2155" t="s">
        <v>694</v>
      </c>
      <c r="E45" s="2155"/>
      <c r="F45" s="1454">
        <f>'Havelvac 3 mas 4 ՄԺԾԾ'!I325</f>
        <v>70764.899999999994</v>
      </c>
    </row>
    <row r="46" spans="2:6" s="1448" customFormat="1">
      <c r="B46" s="1456"/>
      <c r="C46" s="1452"/>
      <c r="D46" s="1451"/>
      <c r="E46" s="1457" t="s">
        <v>454</v>
      </c>
      <c r="F46" s="1449"/>
    </row>
    <row r="47" spans="2:6" s="1448" customFormat="1" ht="21" customHeight="1">
      <c r="B47" s="1456"/>
      <c r="C47" s="1455">
        <v>11009</v>
      </c>
      <c r="D47" s="2155" t="s">
        <v>693</v>
      </c>
      <c r="E47" s="2155"/>
      <c r="F47" s="1454">
        <f>'Havelvac 3 mas 4 ՄԺԾԾ'!I346</f>
        <v>16026.6</v>
      </c>
    </row>
    <row r="48" spans="2:6" s="1448" customFormat="1">
      <c r="B48" s="1456"/>
      <c r="C48" s="1452"/>
      <c r="D48" s="1451"/>
      <c r="E48" s="1457" t="s">
        <v>454</v>
      </c>
      <c r="F48" s="1449"/>
    </row>
    <row r="49" spans="2:7" s="1448" customFormat="1" ht="40.5" customHeight="1">
      <c r="B49" s="1456"/>
      <c r="C49" s="1455">
        <v>11010</v>
      </c>
      <c r="D49" s="2155" t="s">
        <v>393</v>
      </c>
      <c r="E49" s="2155"/>
      <c r="F49" s="1454">
        <f>'Havelvac 3 mas 4 ՄԺԾԾ'!I366</f>
        <v>169524.2</v>
      </c>
    </row>
    <row r="50" spans="2:7" s="1448" customFormat="1">
      <c r="B50" s="1456"/>
      <c r="C50" s="1452"/>
      <c r="D50" s="1451"/>
      <c r="E50" s="1457" t="s">
        <v>454</v>
      </c>
      <c r="F50" s="1449"/>
    </row>
    <row r="51" spans="2:7" s="1448" customFormat="1" ht="32.25" customHeight="1">
      <c r="B51" s="1456"/>
      <c r="C51" s="1455">
        <v>12001</v>
      </c>
      <c r="D51" s="2155" t="s">
        <v>391</v>
      </c>
      <c r="E51" s="2155"/>
      <c r="F51" s="1454">
        <f>'Havelvac 3 mas 4 ՄԺԾԾ'!I379</f>
        <v>7000</v>
      </c>
    </row>
    <row r="52" spans="2:7" s="1448" customFormat="1">
      <c r="B52" s="1456"/>
      <c r="C52" s="1452"/>
      <c r="D52" s="1451"/>
      <c r="E52" s="1457" t="s">
        <v>454</v>
      </c>
      <c r="F52" s="1449"/>
    </row>
    <row r="53" spans="2:7" s="1448" customFormat="1" ht="70.5" customHeight="1">
      <c r="B53" s="1456"/>
      <c r="C53" s="1455">
        <v>12002</v>
      </c>
      <c r="D53" s="2155" t="s">
        <v>389</v>
      </c>
      <c r="E53" s="2155"/>
      <c r="F53" s="1454">
        <f>'Havelvac 3 mas 4 ՄԺԾԾ'!I395</f>
        <v>516632.78</v>
      </c>
    </row>
    <row r="54" spans="2:7" s="1448" customFormat="1">
      <c r="B54" s="1456"/>
      <c r="C54" s="1452"/>
      <c r="D54" s="1451"/>
      <c r="E54" s="1457" t="s">
        <v>454</v>
      </c>
      <c r="F54" s="1449"/>
    </row>
    <row r="55" spans="2:7" s="1448" customFormat="1" ht="78.75" customHeight="1">
      <c r="B55" s="1456"/>
      <c r="C55" s="1455">
        <v>32001</v>
      </c>
      <c r="D55" s="2155" t="s">
        <v>386</v>
      </c>
      <c r="E55" s="2155"/>
      <c r="F55" s="1454">
        <f>'Havelvac 3 mas 4 ՄԺԾԾ'!I414</f>
        <v>994786.12</v>
      </c>
    </row>
    <row r="56" spans="2:7" s="1448" customFormat="1">
      <c r="B56" s="1453"/>
      <c r="C56" s="1452"/>
      <c r="D56" s="1451"/>
      <c r="E56" s="1457" t="s">
        <v>454</v>
      </c>
      <c r="F56" s="1449"/>
    </row>
    <row r="57" spans="2:7" s="995" customFormat="1" ht="22.5" customHeight="1">
      <c r="B57" s="1478">
        <v>1173</v>
      </c>
      <c r="C57" s="1477"/>
      <c r="D57" s="2157" t="s">
        <v>384</v>
      </c>
      <c r="E57" s="2158"/>
      <c r="F57" s="1476">
        <f>F58+F60+F62+F64+F66+F68+F70+F72</f>
        <v>4843662.8</v>
      </c>
    </row>
    <row r="58" spans="2:7" s="995" customFormat="1" ht="27.75" customHeight="1">
      <c r="B58" s="1470"/>
      <c r="C58" s="1473">
        <v>11001</v>
      </c>
      <c r="D58" s="2159" t="s">
        <v>381</v>
      </c>
      <c r="E58" s="2160"/>
      <c r="F58" s="1471">
        <f>'Havelvac 3 mas 4 ՄԺԾԾ'!I432</f>
        <v>255191</v>
      </c>
    </row>
    <row r="59" spans="2:7" s="995" customFormat="1" ht="25.5">
      <c r="B59" s="1470"/>
      <c r="C59" s="1473"/>
      <c r="D59" s="1472"/>
      <c r="E59" s="1463" t="s">
        <v>528</v>
      </c>
      <c r="F59" s="1471"/>
    </row>
    <row r="60" spans="2:7" s="995" customFormat="1">
      <c r="B60" s="1474"/>
      <c r="C60" s="1469">
        <v>11002</v>
      </c>
      <c r="D60" s="2156" t="s">
        <v>379</v>
      </c>
      <c r="E60" s="2156"/>
      <c r="F60" s="1475">
        <f>'Havelvac 3 mas 4 ՄԺԾԾ'!I447</f>
        <v>1850350.2</v>
      </c>
    </row>
    <row r="61" spans="2:7" s="995" customFormat="1" ht="26.25" customHeight="1">
      <c r="B61" s="1474"/>
      <c r="C61" s="1473"/>
      <c r="D61" s="1472"/>
      <c r="E61" s="1463" t="s">
        <v>528</v>
      </c>
      <c r="F61" s="1471"/>
    </row>
    <row r="62" spans="2:7" s="995" customFormat="1">
      <c r="B62" s="1474"/>
      <c r="C62" s="1469">
        <v>11003</v>
      </c>
      <c r="D62" s="2156" t="s">
        <v>377</v>
      </c>
      <c r="E62" s="2156"/>
      <c r="F62" s="1468">
        <f>'Havelvac 3 mas 4 ՄԺԾԾ'!I461</f>
        <v>15000</v>
      </c>
      <c r="G62" s="1008"/>
    </row>
    <row r="63" spans="2:7" s="995" customFormat="1" ht="26.25" customHeight="1">
      <c r="B63" s="1474"/>
      <c r="C63" s="1473"/>
      <c r="D63" s="1472"/>
      <c r="E63" s="1463" t="s">
        <v>528</v>
      </c>
      <c r="F63" s="1471"/>
    </row>
    <row r="64" spans="2:7" s="995" customFormat="1">
      <c r="B64" s="1474"/>
      <c r="C64" s="1469">
        <v>11004</v>
      </c>
      <c r="D64" s="2156" t="s">
        <v>375</v>
      </c>
      <c r="E64" s="2156"/>
      <c r="F64" s="1468">
        <f>'Havelvac 3 mas 4 ՄԺԾԾ'!I476</f>
        <v>76800</v>
      </c>
    </row>
    <row r="65" spans="1:6" s="995" customFormat="1" ht="25.5">
      <c r="B65" s="1474"/>
      <c r="C65" s="1473"/>
      <c r="D65" s="1472"/>
      <c r="E65" s="1463" t="s">
        <v>528</v>
      </c>
      <c r="F65" s="1471"/>
    </row>
    <row r="66" spans="1:6" s="995" customFormat="1">
      <c r="B66" s="1474"/>
      <c r="C66" s="1469">
        <v>11005</v>
      </c>
      <c r="D66" s="2156" t="s">
        <v>373</v>
      </c>
      <c r="E66" s="2156"/>
      <c r="F66" s="1468">
        <f>'Havelvac 3 mas 4 ՄԺԾԾ'!I491</f>
        <v>53325.8</v>
      </c>
    </row>
    <row r="67" spans="1:6" s="995" customFormat="1" ht="18" customHeight="1">
      <c r="B67" s="1474"/>
      <c r="C67" s="1473"/>
      <c r="D67" s="1472"/>
      <c r="E67" s="1457" t="s">
        <v>454</v>
      </c>
      <c r="F67" s="1471"/>
    </row>
    <row r="68" spans="1:6" s="995" customFormat="1" ht="30" customHeight="1">
      <c r="B68" s="1474"/>
      <c r="C68" s="1469">
        <v>31001</v>
      </c>
      <c r="D68" s="2156" t="s">
        <v>692</v>
      </c>
      <c r="E68" s="2156"/>
      <c r="F68" s="1468">
        <f>'Havelvac 3 mas 4 ՄԺԾԾ'!I505</f>
        <v>18460</v>
      </c>
    </row>
    <row r="69" spans="1:6" s="995" customFormat="1" ht="27.75" customHeight="1">
      <c r="B69" s="1474"/>
      <c r="C69" s="1473"/>
      <c r="D69" s="1472"/>
      <c r="E69" s="1463" t="s">
        <v>528</v>
      </c>
      <c r="F69" s="1471"/>
    </row>
    <row r="70" spans="1:6" s="995" customFormat="1" ht="18" customHeight="1">
      <c r="B70" s="1470"/>
      <c r="C70" s="1469">
        <v>32001</v>
      </c>
      <c r="D70" s="2156" t="s">
        <v>365</v>
      </c>
      <c r="E70" s="2156"/>
      <c r="F70" s="1468">
        <f>'Havelvac 3 mas 4 ՄԺԾԾ'!I533</f>
        <v>2381608.7000000002</v>
      </c>
    </row>
    <row r="71" spans="1:6" s="995" customFormat="1" ht="26.25" customHeight="1">
      <c r="B71" s="1470"/>
      <c r="C71" s="1473"/>
      <c r="D71" s="1472"/>
      <c r="E71" s="1463" t="s">
        <v>528</v>
      </c>
      <c r="F71" s="1471"/>
    </row>
    <row r="72" spans="1:6" s="995" customFormat="1" ht="16.5" customHeight="1">
      <c r="B72" s="1470"/>
      <c r="C72" s="1469">
        <v>32002</v>
      </c>
      <c r="D72" s="2156" t="s">
        <v>363</v>
      </c>
      <c r="E72" s="2156"/>
      <c r="F72" s="1468">
        <f>'Havelvac 3 mas 4 ՄԺԾԾ'!I548</f>
        <v>192927.1</v>
      </c>
    </row>
    <row r="73" spans="1:6" s="995" customFormat="1" ht="27.75" customHeight="1">
      <c r="A73" s="1467"/>
      <c r="B73" s="1466"/>
      <c r="C73" s="1465"/>
      <c r="D73" s="1464"/>
      <c r="E73" s="1463" t="s">
        <v>528</v>
      </c>
      <c r="F73" s="1462"/>
    </row>
    <row r="74" spans="1:6" s="1448" customFormat="1" ht="19.5" customHeight="1">
      <c r="B74" s="1461">
        <v>1186</v>
      </c>
      <c r="C74" s="1460"/>
      <c r="D74" s="2154" t="s">
        <v>352</v>
      </c>
      <c r="E74" s="2154"/>
      <c r="F74" s="1459">
        <f>F75+F77</f>
        <v>345322.3</v>
      </c>
    </row>
    <row r="75" spans="1:6" s="1448" customFormat="1" ht="18" customHeight="1">
      <c r="B75" s="1456"/>
      <c r="C75" s="1458">
        <v>11001</v>
      </c>
      <c r="D75" s="2155" t="s">
        <v>352</v>
      </c>
      <c r="E75" s="2155"/>
      <c r="F75" s="1454">
        <f>'Havelvac 3 mas 4 ՄԺԾԾ'!I568</f>
        <v>42550.1</v>
      </c>
    </row>
    <row r="76" spans="1:6" s="1448" customFormat="1">
      <c r="B76" s="1456"/>
      <c r="C76" s="1452"/>
      <c r="D76" s="1451"/>
      <c r="E76" s="1457" t="s">
        <v>454</v>
      </c>
      <c r="F76" s="1449"/>
    </row>
    <row r="77" spans="1:6" s="1448" customFormat="1" ht="21" customHeight="1">
      <c r="B77" s="1456"/>
      <c r="C77" s="1455">
        <v>11002</v>
      </c>
      <c r="D77" s="2155" t="s">
        <v>349</v>
      </c>
      <c r="E77" s="2155"/>
      <c r="F77" s="1454">
        <f>'Havelvac 3 mas 4 ՄԺԾԾ'!I586</f>
        <v>302772.2</v>
      </c>
    </row>
    <row r="78" spans="1:6" s="1448" customFormat="1" ht="25.5">
      <c r="B78" s="1453"/>
      <c r="C78" s="1452"/>
      <c r="D78" s="1451"/>
      <c r="E78" s="1450" t="s">
        <v>691</v>
      </c>
      <c r="F78" s="1449"/>
    </row>
  </sheetData>
  <mergeCells count="43">
    <mergeCell ref="D12:E12"/>
    <mergeCell ref="D13:E13"/>
    <mergeCell ref="D15:E15"/>
    <mergeCell ref="B4:D4"/>
    <mergeCell ref="B5:D5"/>
    <mergeCell ref="B7:F7"/>
    <mergeCell ref="B9:C9"/>
    <mergeCell ref="D9:E10"/>
    <mergeCell ref="F9:F10"/>
    <mergeCell ref="D39:E39"/>
    <mergeCell ref="D41:E41"/>
    <mergeCell ref="D43:E43"/>
    <mergeCell ref="D45:E45"/>
    <mergeCell ref="D20:E20"/>
    <mergeCell ref="D21:E21"/>
    <mergeCell ref="D23:E23"/>
    <mergeCell ref="D25:E25"/>
    <mergeCell ref="D30:E30"/>
    <mergeCell ref="D31:E31"/>
    <mergeCell ref="D33:E33"/>
    <mergeCell ref="D35:E35"/>
    <mergeCell ref="D37:E37"/>
    <mergeCell ref="D72:E72"/>
    <mergeCell ref="D74:E74"/>
    <mergeCell ref="D75:E75"/>
    <mergeCell ref="D77:E77"/>
    <mergeCell ref="D70:E70"/>
    <mergeCell ref="D17:E17"/>
    <mergeCell ref="D18:E18"/>
    <mergeCell ref="D64:E64"/>
    <mergeCell ref="D66:E66"/>
    <mergeCell ref="D68:E68"/>
    <mergeCell ref="D62:E62"/>
    <mergeCell ref="D53:E53"/>
    <mergeCell ref="D55:E55"/>
    <mergeCell ref="D57:E57"/>
    <mergeCell ref="D58:E58"/>
    <mergeCell ref="D60:E60"/>
    <mergeCell ref="D49:E49"/>
    <mergeCell ref="D51:E51"/>
    <mergeCell ref="D47:E47"/>
    <mergeCell ref="D27:E27"/>
    <mergeCell ref="D28:E28"/>
  </mergeCells>
  <pageMargins left="0.28000000000000003" right="0.2"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67"/>
  <sheetViews>
    <sheetView topLeftCell="A2" zoomScale="90" zoomScaleNormal="90" zoomScaleSheetLayoutView="70" workbookViewId="0">
      <selection activeCell="H12" sqref="H12"/>
    </sheetView>
  </sheetViews>
  <sheetFormatPr defaultRowHeight="16.5"/>
  <cols>
    <col min="1" max="1" width="6.140625" style="173" customWidth="1"/>
    <col min="2" max="2" width="3.85546875" style="1594" customWidth="1"/>
    <col min="3" max="3" width="6.5703125" style="173" customWidth="1"/>
    <col min="4" max="4" width="53.7109375" style="174" customWidth="1"/>
    <col min="5" max="5" width="14.7109375" style="175" hidden="1" customWidth="1"/>
    <col min="6" max="6" width="14" style="209" customWidth="1"/>
    <col min="7" max="7" width="14.5703125" style="209" customWidth="1"/>
    <col min="8" max="8" width="13.7109375" style="659" customWidth="1"/>
    <col min="9" max="9" width="14" style="659" customWidth="1"/>
    <col min="10" max="10" width="13.7109375" style="659" customWidth="1"/>
    <col min="11" max="11" width="12.140625" style="209" customWidth="1"/>
    <col min="12" max="12" width="13.28515625" style="209" customWidth="1"/>
    <col min="13" max="13" width="12.42578125" style="209" customWidth="1"/>
    <col min="14" max="239" width="9.140625" style="51"/>
    <col min="240" max="240" width="5.7109375" style="51" customWidth="1"/>
    <col min="241" max="241" width="6.85546875" style="51" customWidth="1"/>
    <col min="242" max="242" width="50.140625" style="51" customWidth="1"/>
    <col min="243" max="244" width="11.42578125" style="51" customWidth="1"/>
    <col min="245" max="248" width="0" style="51" hidden="1" customWidth="1"/>
    <col min="249" max="249" width="13.140625" style="51" customWidth="1"/>
    <col min="250" max="250" width="12.42578125" style="51" customWidth="1"/>
    <col min="251" max="251" width="12.28515625" style="51" customWidth="1"/>
    <col min="252" max="254" width="0" style="51" hidden="1" customWidth="1"/>
    <col min="255" max="255" width="12.7109375" style="51" customWidth="1"/>
    <col min="256" max="256" width="12.42578125" style="51" customWidth="1"/>
    <col min="257" max="257" width="13.28515625" style="51" customWidth="1"/>
    <col min="258" max="258" width="12.42578125" style="51" customWidth="1"/>
    <col min="259" max="259" width="11.7109375" style="51" customWidth="1"/>
    <col min="260" max="260" width="11.42578125" style="51" customWidth="1"/>
    <col min="261" max="261" width="11.5703125" style="51" bestFit="1" customWidth="1"/>
    <col min="262" max="262" width="11.85546875" style="51" customWidth="1"/>
    <col min="263" max="263" width="12" style="51" customWidth="1"/>
    <col min="264" max="495" width="9.140625" style="51"/>
    <col min="496" max="496" width="5.7109375" style="51" customWidth="1"/>
    <col min="497" max="497" width="6.85546875" style="51" customWidth="1"/>
    <col min="498" max="498" width="50.140625" style="51" customWidth="1"/>
    <col min="499" max="500" width="11.42578125" style="51" customWidth="1"/>
    <col min="501" max="504" width="0" style="51" hidden="1" customWidth="1"/>
    <col min="505" max="505" width="13.140625" style="51" customWidth="1"/>
    <col min="506" max="506" width="12.42578125" style="51" customWidth="1"/>
    <col min="507" max="507" width="12.28515625" style="51" customWidth="1"/>
    <col min="508" max="510" width="0" style="51" hidden="1" customWidth="1"/>
    <col min="511" max="511" width="12.7109375" style="51" customWidth="1"/>
    <col min="512" max="512" width="12.42578125" style="51" customWidth="1"/>
    <col min="513" max="513" width="13.28515625" style="51" customWidth="1"/>
    <col min="514" max="514" width="12.42578125" style="51" customWidth="1"/>
    <col min="515" max="515" width="11.7109375" style="51" customWidth="1"/>
    <col min="516" max="516" width="11.42578125" style="51" customWidth="1"/>
    <col min="517" max="517" width="11.5703125" style="51" bestFit="1" customWidth="1"/>
    <col min="518" max="518" width="11.85546875" style="51" customWidth="1"/>
    <col min="519" max="519" width="12" style="51" customWidth="1"/>
    <col min="520" max="751" width="9.140625" style="51"/>
    <col min="752" max="752" width="5.7109375" style="51" customWidth="1"/>
    <col min="753" max="753" width="6.85546875" style="51" customWidth="1"/>
    <col min="754" max="754" width="50.140625" style="51" customWidth="1"/>
    <col min="755" max="756" width="11.42578125" style="51" customWidth="1"/>
    <col min="757" max="760" width="0" style="51" hidden="1" customWidth="1"/>
    <col min="761" max="761" width="13.140625" style="51" customWidth="1"/>
    <col min="762" max="762" width="12.42578125" style="51" customWidth="1"/>
    <col min="763" max="763" width="12.28515625" style="51" customWidth="1"/>
    <col min="764" max="766" width="0" style="51" hidden="1" customWidth="1"/>
    <col min="767" max="767" width="12.7109375" style="51" customWidth="1"/>
    <col min="768" max="768" width="12.42578125" style="51" customWidth="1"/>
    <col min="769" max="769" width="13.28515625" style="51" customWidth="1"/>
    <col min="770" max="770" width="12.42578125" style="51" customWidth="1"/>
    <col min="771" max="771" width="11.7109375" style="51" customWidth="1"/>
    <col min="772" max="772" width="11.42578125" style="51" customWidth="1"/>
    <col min="773" max="773" width="11.5703125" style="51" bestFit="1" customWidth="1"/>
    <col min="774" max="774" width="11.85546875" style="51" customWidth="1"/>
    <col min="775" max="775" width="12" style="51" customWidth="1"/>
    <col min="776" max="1007" width="9.140625" style="51"/>
    <col min="1008" max="1008" width="5.7109375" style="51" customWidth="1"/>
    <col min="1009" max="1009" width="6.85546875" style="51" customWidth="1"/>
    <col min="1010" max="1010" width="50.140625" style="51" customWidth="1"/>
    <col min="1011" max="1012" width="11.42578125" style="51" customWidth="1"/>
    <col min="1013" max="1016" width="0" style="51" hidden="1" customWidth="1"/>
    <col min="1017" max="1017" width="13.140625" style="51" customWidth="1"/>
    <col min="1018" max="1018" width="12.42578125" style="51" customWidth="1"/>
    <col min="1019" max="1019" width="12.28515625" style="51" customWidth="1"/>
    <col min="1020" max="1022" width="0" style="51" hidden="1" customWidth="1"/>
    <col min="1023" max="1023" width="12.7109375" style="51" customWidth="1"/>
    <col min="1024" max="1024" width="12.42578125" style="51" customWidth="1"/>
    <col min="1025" max="1025" width="13.28515625" style="51" customWidth="1"/>
    <col min="1026" max="1026" width="12.42578125" style="51" customWidth="1"/>
    <col min="1027" max="1027" width="11.7109375" style="51" customWidth="1"/>
    <col min="1028" max="1028" width="11.42578125" style="51" customWidth="1"/>
    <col min="1029" max="1029" width="11.5703125" style="51" bestFit="1" customWidth="1"/>
    <col min="1030" max="1030" width="11.85546875" style="51" customWidth="1"/>
    <col min="1031" max="1031" width="12" style="51" customWidth="1"/>
    <col min="1032" max="1263" width="9.140625" style="51"/>
    <col min="1264" max="1264" width="5.7109375" style="51" customWidth="1"/>
    <col min="1265" max="1265" width="6.85546875" style="51" customWidth="1"/>
    <col min="1266" max="1266" width="50.140625" style="51" customWidth="1"/>
    <col min="1267" max="1268" width="11.42578125" style="51" customWidth="1"/>
    <col min="1269" max="1272" width="0" style="51" hidden="1" customWidth="1"/>
    <col min="1273" max="1273" width="13.140625" style="51" customWidth="1"/>
    <col min="1274" max="1274" width="12.42578125" style="51" customWidth="1"/>
    <col min="1275" max="1275" width="12.28515625" style="51" customWidth="1"/>
    <col min="1276" max="1278" width="0" style="51" hidden="1" customWidth="1"/>
    <col min="1279" max="1279" width="12.7109375" style="51" customWidth="1"/>
    <col min="1280" max="1280" width="12.42578125" style="51" customWidth="1"/>
    <col min="1281" max="1281" width="13.28515625" style="51" customWidth="1"/>
    <col min="1282" max="1282" width="12.42578125" style="51" customWidth="1"/>
    <col min="1283" max="1283" width="11.7109375" style="51" customWidth="1"/>
    <col min="1284" max="1284" width="11.42578125" style="51" customWidth="1"/>
    <col min="1285" max="1285" width="11.5703125" style="51" bestFit="1" customWidth="1"/>
    <col min="1286" max="1286" width="11.85546875" style="51" customWidth="1"/>
    <col min="1287" max="1287" width="12" style="51" customWidth="1"/>
    <col min="1288" max="1519" width="9.140625" style="51"/>
    <col min="1520" max="1520" width="5.7109375" style="51" customWidth="1"/>
    <col min="1521" max="1521" width="6.85546875" style="51" customWidth="1"/>
    <col min="1522" max="1522" width="50.140625" style="51" customWidth="1"/>
    <col min="1523" max="1524" width="11.42578125" style="51" customWidth="1"/>
    <col min="1525" max="1528" width="0" style="51" hidden="1" customWidth="1"/>
    <col min="1529" max="1529" width="13.140625" style="51" customWidth="1"/>
    <col min="1530" max="1530" width="12.42578125" style="51" customWidth="1"/>
    <col min="1531" max="1531" width="12.28515625" style="51" customWidth="1"/>
    <col min="1532" max="1534" width="0" style="51" hidden="1" customWidth="1"/>
    <col min="1535" max="1535" width="12.7109375" style="51" customWidth="1"/>
    <col min="1536" max="1536" width="12.42578125" style="51" customWidth="1"/>
    <col min="1537" max="1537" width="13.28515625" style="51" customWidth="1"/>
    <col min="1538" max="1538" width="12.42578125" style="51" customWidth="1"/>
    <col min="1539" max="1539" width="11.7109375" style="51" customWidth="1"/>
    <col min="1540" max="1540" width="11.42578125" style="51" customWidth="1"/>
    <col min="1541" max="1541" width="11.5703125" style="51" bestFit="1" customWidth="1"/>
    <col min="1542" max="1542" width="11.85546875" style="51" customWidth="1"/>
    <col min="1543" max="1543" width="12" style="51" customWidth="1"/>
    <col min="1544" max="1775" width="9.140625" style="51"/>
    <col min="1776" max="1776" width="5.7109375" style="51" customWidth="1"/>
    <col min="1777" max="1777" width="6.85546875" style="51" customWidth="1"/>
    <col min="1778" max="1778" width="50.140625" style="51" customWidth="1"/>
    <col min="1779" max="1780" width="11.42578125" style="51" customWidth="1"/>
    <col min="1781" max="1784" width="0" style="51" hidden="1" customWidth="1"/>
    <col min="1785" max="1785" width="13.140625" style="51" customWidth="1"/>
    <col min="1786" max="1786" width="12.42578125" style="51" customWidth="1"/>
    <col min="1787" max="1787" width="12.28515625" style="51" customWidth="1"/>
    <col min="1788" max="1790" width="0" style="51" hidden="1" customWidth="1"/>
    <col min="1791" max="1791" width="12.7109375" style="51" customWidth="1"/>
    <col min="1792" max="1792" width="12.42578125" style="51" customWidth="1"/>
    <col min="1793" max="1793" width="13.28515625" style="51" customWidth="1"/>
    <col min="1794" max="1794" width="12.42578125" style="51" customWidth="1"/>
    <col min="1795" max="1795" width="11.7109375" style="51" customWidth="1"/>
    <col min="1796" max="1796" width="11.42578125" style="51" customWidth="1"/>
    <col min="1797" max="1797" width="11.5703125" style="51" bestFit="1" customWidth="1"/>
    <col min="1798" max="1798" width="11.85546875" style="51" customWidth="1"/>
    <col min="1799" max="1799" width="12" style="51" customWidth="1"/>
    <col min="1800" max="2031" width="9.140625" style="51"/>
    <col min="2032" max="2032" width="5.7109375" style="51" customWidth="1"/>
    <col min="2033" max="2033" width="6.85546875" style="51" customWidth="1"/>
    <col min="2034" max="2034" width="50.140625" style="51" customWidth="1"/>
    <col min="2035" max="2036" width="11.42578125" style="51" customWidth="1"/>
    <col min="2037" max="2040" width="0" style="51" hidden="1" customWidth="1"/>
    <col min="2041" max="2041" width="13.140625" style="51" customWidth="1"/>
    <col min="2042" max="2042" width="12.42578125" style="51" customWidth="1"/>
    <col min="2043" max="2043" width="12.28515625" style="51" customWidth="1"/>
    <col min="2044" max="2046" width="0" style="51" hidden="1" customWidth="1"/>
    <col min="2047" max="2047" width="12.7109375" style="51" customWidth="1"/>
    <col min="2048" max="2048" width="12.42578125" style="51" customWidth="1"/>
    <col min="2049" max="2049" width="13.28515625" style="51" customWidth="1"/>
    <col min="2050" max="2050" width="12.42578125" style="51" customWidth="1"/>
    <col min="2051" max="2051" width="11.7109375" style="51" customWidth="1"/>
    <col min="2052" max="2052" width="11.42578125" style="51" customWidth="1"/>
    <col min="2053" max="2053" width="11.5703125" style="51" bestFit="1" customWidth="1"/>
    <col min="2054" max="2054" width="11.85546875" style="51" customWidth="1"/>
    <col min="2055" max="2055" width="12" style="51" customWidth="1"/>
    <col min="2056" max="2287" width="9.140625" style="51"/>
    <col min="2288" max="2288" width="5.7109375" style="51" customWidth="1"/>
    <col min="2289" max="2289" width="6.85546875" style="51" customWidth="1"/>
    <col min="2290" max="2290" width="50.140625" style="51" customWidth="1"/>
    <col min="2291" max="2292" width="11.42578125" style="51" customWidth="1"/>
    <col min="2293" max="2296" width="0" style="51" hidden="1" customWidth="1"/>
    <col min="2297" max="2297" width="13.140625" style="51" customWidth="1"/>
    <col min="2298" max="2298" width="12.42578125" style="51" customWidth="1"/>
    <col min="2299" max="2299" width="12.28515625" style="51" customWidth="1"/>
    <col min="2300" max="2302" width="0" style="51" hidden="1" customWidth="1"/>
    <col min="2303" max="2303" width="12.7109375" style="51" customWidth="1"/>
    <col min="2304" max="2304" width="12.42578125" style="51" customWidth="1"/>
    <col min="2305" max="2305" width="13.28515625" style="51" customWidth="1"/>
    <col min="2306" max="2306" width="12.42578125" style="51" customWidth="1"/>
    <col min="2307" max="2307" width="11.7109375" style="51" customWidth="1"/>
    <col min="2308" max="2308" width="11.42578125" style="51" customWidth="1"/>
    <col min="2309" max="2309" width="11.5703125" style="51" bestFit="1" customWidth="1"/>
    <col min="2310" max="2310" width="11.85546875" style="51" customWidth="1"/>
    <col min="2311" max="2311" width="12" style="51" customWidth="1"/>
    <col min="2312" max="2543" width="9.140625" style="51"/>
    <col min="2544" max="2544" width="5.7109375" style="51" customWidth="1"/>
    <col min="2545" max="2545" width="6.85546875" style="51" customWidth="1"/>
    <col min="2546" max="2546" width="50.140625" style="51" customWidth="1"/>
    <col min="2547" max="2548" width="11.42578125" style="51" customWidth="1"/>
    <col min="2549" max="2552" width="0" style="51" hidden="1" customWidth="1"/>
    <col min="2553" max="2553" width="13.140625" style="51" customWidth="1"/>
    <col min="2554" max="2554" width="12.42578125" style="51" customWidth="1"/>
    <col min="2555" max="2555" width="12.28515625" style="51" customWidth="1"/>
    <col min="2556" max="2558" width="0" style="51" hidden="1" customWidth="1"/>
    <col min="2559" max="2559" width="12.7109375" style="51" customWidth="1"/>
    <col min="2560" max="2560" width="12.42578125" style="51" customWidth="1"/>
    <col min="2561" max="2561" width="13.28515625" style="51" customWidth="1"/>
    <col min="2562" max="2562" width="12.42578125" style="51" customWidth="1"/>
    <col min="2563" max="2563" width="11.7109375" style="51" customWidth="1"/>
    <col min="2564" max="2564" width="11.42578125" style="51" customWidth="1"/>
    <col min="2565" max="2565" width="11.5703125" style="51" bestFit="1" customWidth="1"/>
    <col min="2566" max="2566" width="11.85546875" style="51" customWidth="1"/>
    <col min="2567" max="2567" width="12" style="51" customWidth="1"/>
    <col min="2568" max="2799" width="9.140625" style="51"/>
    <col min="2800" max="2800" width="5.7109375" style="51" customWidth="1"/>
    <col min="2801" max="2801" width="6.85546875" style="51" customWidth="1"/>
    <col min="2802" max="2802" width="50.140625" style="51" customWidth="1"/>
    <col min="2803" max="2804" width="11.42578125" style="51" customWidth="1"/>
    <col min="2805" max="2808" width="0" style="51" hidden="1" customWidth="1"/>
    <col min="2809" max="2809" width="13.140625" style="51" customWidth="1"/>
    <col min="2810" max="2810" width="12.42578125" style="51" customWidth="1"/>
    <col min="2811" max="2811" width="12.28515625" style="51" customWidth="1"/>
    <col min="2812" max="2814" width="0" style="51" hidden="1" customWidth="1"/>
    <col min="2815" max="2815" width="12.7109375" style="51" customWidth="1"/>
    <col min="2816" max="2816" width="12.42578125" style="51" customWidth="1"/>
    <col min="2817" max="2817" width="13.28515625" style="51" customWidth="1"/>
    <col min="2818" max="2818" width="12.42578125" style="51" customWidth="1"/>
    <col min="2819" max="2819" width="11.7109375" style="51" customWidth="1"/>
    <col min="2820" max="2820" width="11.42578125" style="51" customWidth="1"/>
    <col min="2821" max="2821" width="11.5703125" style="51" bestFit="1" customWidth="1"/>
    <col min="2822" max="2822" width="11.85546875" style="51" customWidth="1"/>
    <col min="2823" max="2823" width="12" style="51" customWidth="1"/>
    <col min="2824" max="3055" width="9.140625" style="51"/>
    <col min="3056" max="3056" width="5.7109375" style="51" customWidth="1"/>
    <col min="3057" max="3057" width="6.85546875" style="51" customWidth="1"/>
    <col min="3058" max="3058" width="50.140625" style="51" customWidth="1"/>
    <col min="3059" max="3060" width="11.42578125" style="51" customWidth="1"/>
    <col min="3061" max="3064" width="0" style="51" hidden="1" customWidth="1"/>
    <col min="3065" max="3065" width="13.140625" style="51" customWidth="1"/>
    <col min="3066" max="3066" width="12.42578125" style="51" customWidth="1"/>
    <col min="3067" max="3067" width="12.28515625" style="51" customWidth="1"/>
    <col min="3068" max="3070" width="0" style="51" hidden="1" customWidth="1"/>
    <col min="3071" max="3071" width="12.7109375" style="51" customWidth="1"/>
    <col min="3072" max="3072" width="12.42578125" style="51" customWidth="1"/>
    <col min="3073" max="3073" width="13.28515625" style="51" customWidth="1"/>
    <col min="3074" max="3074" width="12.42578125" style="51" customWidth="1"/>
    <col min="3075" max="3075" width="11.7109375" style="51" customWidth="1"/>
    <col min="3076" max="3076" width="11.42578125" style="51" customWidth="1"/>
    <col min="3077" max="3077" width="11.5703125" style="51" bestFit="1" customWidth="1"/>
    <col min="3078" max="3078" width="11.85546875" style="51" customWidth="1"/>
    <col min="3079" max="3079" width="12" style="51" customWidth="1"/>
    <col min="3080" max="3311" width="9.140625" style="51"/>
    <col min="3312" max="3312" width="5.7109375" style="51" customWidth="1"/>
    <col min="3313" max="3313" width="6.85546875" style="51" customWidth="1"/>
    <col min="3314" max="3314" width="50.140625" style="51" customWidth="1"/>
    <col min="3315" max="3316" width="11.42578125" style="51" customWidth="1"/>
    <col min="3317" max="3320" width="0" style="51" hidden="1" customWidth="1"/>
    <col min="3321" max="3321" width="13.140625" style="51" customWidth="1"/>
    <col min="3322" max="3322" width="12.42578125" style="51" customWidth="1"/>
    <col min="3323" max="3323" width="12.28515625" style="51" customWidth="1"/>
    <col min="3324" max="3326" width="0" style="51" hidden="1" customWidth="1"/>
    <col min="3327" max="3327" width="12.7109375" style="51" customWidth="1"/>
    <col min="3328" max="3328" width="12.42578125" style="51" customWidth="1"/>
    <col min="3329" max="3329" width="13.28515625" style="51" customWidth="1"/>
    <col min="3330" max="3330" width="12.42578125" style="51" customWidth="1"/>
    <col min="3331" max="3331" width="11.7109375" style="51" customWidth="1"/>
    <col min="3332" max="3332" width="11.42578125" style="51" customWidth="1"/>
    <col min="3333" max="3333" width="11.5703125" style="51" bestFit="1" customWidth="1"/>
    <col min="3334" max="3334" width="11.85546875" style="51" customWidth="1"/>
    <col min="3335" max="3335" width="12" style="51" customWidth="1"/>
    <col min="3336" max="3567" width="9.140625" style="51"/>
    <col min="3568" max="3568" width="5.7109375" style="51" customWidth="1"/>
    <col min="3569" max="3569" width="6.85546875" style="51" customWidth="1"/>
    <col min="3570" max="3570" width="50.140625" style="51" customWidth="1"/>
    <col min="3571" max="3572" width="11.42578125" style="51" customWidth="1"/>
    <col min="3573" max="3576" width="0" style="51" hidden="1" customWidth="1"/>
    <col min="3577" max="3577" width="13.140625" style="51" customWidth="1"/>
    <col min="3578" max="3578" width="12.42578125" style="51" customWidth="1"/>
    <col min="3579" max="3579" width="12.28515625" style="51" customWidth="1"/>
    <col min="3580" max="3582" width="0" style="51" hidden="1" customWidth="1"/>
    <col min="3583" max="3583" width="12.7109375" style="51" customWidth="1"/>
    <col min="3584" max="3584" width="12.42578125" style="51" customWidth="1"/>
    <col min="3585" max="3585" width="13.28515625" style="51" customWidth="1"/>
    <col min="3586" max="3586" width="12.42578125" style="51" customWidth="1"/>
    <col min="3587" max="3587" width="11.7109375" style="51" customWidth="1"/>
    <col min="3588" max="3588" width="11.42578125" style="51" customWidth="1"/>
    <col min="3589" max="3589" width="11.5703125" style="51" bestFit="1" customWidth="1"/>
    <col min="3590" max="3590" width="11.85546875" style="51" customWidth="1"/>
    <col min="3591" max="3591" width="12" style="51" customWidth="1"/>
    <col min="3592" max="3823" width="9.140625" style="51"/>
    <col min="3824" max="3824" width="5.7109375" style="51" customWidth="1"/>
    <col min="3825" max="3825" width="6.85546875" style="51" customWidth="1"/>
    <col min="3826" max="3826" width="50.140625" style="51" customWidth="1"/>
    <col min="3827" max="3828" width="11.42578125" style="51" customWidth="1"/>
    <col min="3829" max="3832" width="0" style="51" hidden="1" customWidth="1"/>
    <col min="3833" max="3833" width="13.140625" style="51" customWidth="1"/>
    <col min="3834" max="3834" width="12.42578125" style="51" customWidth="1"/>
    <col min="3835" max="3835" width="12.28515625" style="51" customWidth="1"/>
    <col min="3836" max="3838" width="0" style="51" hidden="1" customWidth="1"/>
    <col min="3839" max="3839" width="12.7109375" style="51" customWidth="1"/>
    <col min="3840" max="3840" width="12.42578125" style="51" customWidth="1"/>
    <col min="3841" max="3841" width="13.28515625" style="51" customWidth="1"/>
    <col min="3842" max="3842" width="12.42578125" style="51" customWidth="1"/>
    <col min="3843" max="3843" width="11.7109375" style="51" customWidth="1"/>
    <col min="3844" max="3844" width="11.42578125" style="51" customWidth="1"/>
    <col min="3845" max="3845" width="11.5703125" style="51" bestFit="1" customWidth="1"/>
    <col min="3846" max="3846" width="11.85546875" style="51" customWidth="1"/>
    <col min="3847" max="3847" width="12" style="51" customWidth="1"/>
    <col min="3848" max="4079" width="9.140625" style="51"/>
    <col min="4080" max="4080" width="5.7109375" style="51" customWidth="1"/>
    <col min="4081" max="4081" width="6.85546875" style="51" customWidth="1"/>
    <col min="4082" max="4082" width="50.140625" style="51" customWidth="1"/>
    <col min="4083" max="4084" width="11.42578125" style="51" customWidth="1"/>
    <col min="4085" max="4088" width="0" style="51" hidden="1" customWidth="1"/>
    <col min="4089" max="4089" width="13.140625" style="51" customWidth="1"/>
    <col min="4090" max="4090" width="12.42578125" style="51" customWidth="1"/>
    <col min="4091" max="4091" width="12.28515625" style="51" customWidth="1"/>
    <col min="4092" max="4094" width="0" style="51" hidden="1" customWidth="1"/>
    <col min="4095" max="4095" width="12.7109375" style="51" customWidth="1"/>
    <col min="4096" max="4096" width="12.42578125" style="51" customWidth="1"/>
    <col min="4097" max="4097" width="13.28515625" style="51" customWidth="1"/>
    <col min="4098" max="4098" width="12.42578125" style="51" customWidth="1"/>
    <col min="4099" max="4099" width="11.7109375" style="51" customWidth="1"/>
    <col min="4100" max="4100" width="11.42578125" style="51" customWidth="1"/>
    <col min="4101" max="4101" width="11.5703125" style="51" bestFit="1" customWidth="1"/>
    <col min="4102" max="4102" width="11.85546875" style="51" customWidth="1"/>
    <col min="4103" max="4103" width="12" style="51" customWidth="1"/>
    <col min="4104" max="4335" width="9.140625" style="51"/>
    <col min="4336" max="4336" width="5.7109375" style="51" customWidth="1"/>
    <col min="4337" max="4337" width="6.85546875" style="51" customWidth="1"/>
    <col min="4338" max="4338" width="50.140625" style="51" customWidth="1"/>
    <col min="4339" max="4340" width="11.42578125" style="51" customWidth="1"/>
    <col min="4341" max="4344" width="0" style="51" hidden="1" customWidth="1"/>
    <col min="4345" max="4345" width="13.140625" style="51" customWidth="1"/>
    <col min="4346" max="4346" width="12.42578125" style="51" customWidth="1"/>
    <col min="4347" max="4347" width="12.28515625" style="51" customWidth="1"/>
    <col min="4348" max="4350" width="0" style="51" hidden="1" customWidth="1"/>
    <col min="4351" max="4351" width="12.7109375" style="51" customWidth="1"/>
    <col min="4352" max="4352" width="12.42578125" style="51" customWidth="1"/>
    <col min="4353" max="4353" width="13.28515625" style="51" customWidth="1"/>
    <col min="4354" max="4354" width="12.42578125" style="51" customWidth="1"/>
    <col min="4355" max="4355" width="11.7109375" style="51" customWidth="1"/>
    <col min="4356" max="4356" width="11.42578125" style="51" customWidth="1"/>
    <col min="4357" max="4357" width="11.5703125" style="51" bestFit="1" customWidth="1"/>
    <col min="4358" max="4358" width="11.85546875" style="51" customWidth="1"/>
    <col min="4359" max="4359" width="12" style="51" customWidth="1"/>
    <col min="4360" max="4591" width="9.140625" style="51"/>
    <col min="4592" max="4592" width="5.7109375" style="51" customWidth="1"/>
    <col min="4593" max="4593" width="6.85546875" style="51" customWidth="1"/>
    <col min="4594" max="4594" width="50.140625" style="51" customWidth="1"/>
    <col min="4595" max="4596" width="11.42578125" style="51" customWidth="1"/>
    <col min="4597" max="4600" width="0" style="51" hidden="1" customWidth="1"/>
    <col min="4601" max="4601" width="13.140625" style="51" customWidth="1"/>
    <col min="4602" max="4602" width="12.42578125" style="51" customWidth="1"/>
    <col min="4603" max="4603" width="12.28515625" style="51" customWidth="1"/>
    <col min="4604" max="4606" width="0" style="51" hidden="1" customWidth="1"/>
    <col min="4607" max="4607" width="12.7109375" style="51" customWidth="1"/>
    <col min="4608" max="4608" width="12.42578125" style="51" customWidth="1"/>
    <col min="4609" max="4609" width="13.28515625" style="51" customWidth="1"/>
    <col min="4610" max="4610" width="12.42578125" style="51" customWidth="1"/>
    <col min="4611" max="4611" width="11.7109375" style="51" customWidth="1"/>
    <col min="4612" max="4612" width="11.42578125" style="51" customWidth="1"/>
    <col min="4613" max="4613" width="11.5703125" style="51" bestFit="1" customWidth="1"/>
    <col min="4614" max="4614" width="11.85546875" style="51" customWidth="1"/>
    <col min="4615" max="4615" width="12" style="51" customWidth="1"/>
    <col min="4616" max="4847" width="9.140625" style="51"/>
    <col min="4848" max="4848" width="5.7109375" style="51" customWidth="1"/>
    <col min="4849" max="4849" width="6.85546875" style="51" customWidth="1"/>
    <col min="4850" max="4850" width="50.140625" style="51" customWidth="1"/>
    <col min="4851" max="4852" width="11.42578125" style="51" customWidth="1"/>
    <col min="4853" max="4856" width="0" style="51" hidden="1" customWidth="1"/>
    <col min="4857" max="4857" width="13.140625" style="51" customWidth="1"/>
    <col min="4858" max="4858" width="12.42578125" style="51" customWidth="1"/>
    <col min="4859" max="4859" width="12.28515625" style="51" customWidth="1"/>
    <col min="4860" max="4862" width="0" style="51" hidden="1" customWidth="1"/>
    <col min="4863" max="4863" width="12.7109375" style="51" customWidth="1"/>
    <col min="4864" max="4864" width="12.42578125" style="51" customWidth="1"/>
    <col min="4865" max="4865" width="13.28515625" style="51" customWidth="1"/>
    <col min="4866" max="4866" width="12.42578125" style="51" customWidth="1"/>
    <col min="4867" max="4867" width="11.7109375" style="51" customWidth="1"/>
    <col min="4868" max="4868" width="11.42578125" style="51" customWidth="1"/>
    <col min="4869" max="4869" width="11.5703125" style="51" bestFit="1" customWidth="1"/>
    <col min="4870" max="4870" width="11.85546875" style="51" customWidth="1"/>
    <col min="4871" max="4871" width="12" style="51" customWidth="1"/>
    <col min="4872" max="5103" width="9.140625" style="51"/>
    <col min="5104" max="5104" width="5.7109375" style="51" customWidth="1"/>
    <col min="5105" max="5105" width="6.85546875" style="51" customWidth="1"/>
    <col min="5106" max="5106" width="50.140625" style="51" customWidth="1"/>
    <col min="5107" max="5108" width="11.42578125" style="51" customWidth="1"/>
    <col min="5109" max="5112" width="0" style="51" hidden="1" customWidth="1"/>
    <col min="5113" max="5113" width="13.140625" style="51" customWidth="1"/>
    <col min="5114" max="5114" width="12.42578125" style="51" customWidth="1"/>
    <col min="5115" max="5115" width="12.28515625" style="51" customWidth="1"/>
    <col min="5116" max="5118" width="0" style="51" hidden="1" customWidth="1"/>
    <col min="5119" max="5119" width="12.7109375" style="51" customWidth="1"/>
    <col min="5120" max="5120" width="12.42578125" style="51" customWidth="1"/>
    <col min="5121" max="5121" width="13.28515625" style="51" customWidth="1"/>
    <col min="5122" max="5122" width="12.42578125" style="51" customWidth="1"/>
    <col min="5123" max="5123" width="11.7109375" style="51" customWidth="1"/>
    <col min="5124" max="5124" width="11.42578125" style="51" customWidth="1"/>
    <col min="5125" max="5125" width="11.5703125" style="51" bestFit="1" customWidth="1"/>
    <col min="5126" max="5126" width="11.85546875" style="51" customWidth="1"/>
    <col min="5127" max="5127" width="12" style="51" customWidth="1"/>
    <col min="5128" max="5359" width="9.140625" style="51"/>
    <col min="5360" max="5360" width="5.7109375" style="51" customWidth="1"/>
    <col min="5361" max="5361" width="6.85546875" style="51" customWidth="1"/>
    <col min="5362" max="5362" width="50.140625" style="51" customWidth="1"/>
    <col min="5363" max="5364" width="11.42578125" style="51" customWidth="1"/>
    <col min="5365" max="5368" width="0" style="51" hidden="1" customWidth="1"/>
    <col min="5369" max="5369" width="13.140625" style="51" customWidth="1"/>
    <col min="5370" max="5370" width="12.42578125" style="51" customWidth="1"/>
    <col min="5371" max="5371" width="12.28515625" style="51" customWidth="1"/>
    <col min="5372" max="5374" width="0" style="51" hidden="1" customWidth="1"/>
    <col min="5375" max="5375" width="12.7109375" style="51" customWidth="1"/>
    <col min="5376" max="5376" width="12.42578125" style="51" customWidth="1"/>
    <col min="5377" max="5377" width="13.28515625" style="51" customWidth="1"/>
    <col min="5378" max="5378" width="12.42578125" style="51" customWidth="1"/>
    <col min="5379" max="5379" width="11.7109375" style="51" customWidth="1"/>
    <col min="5380" max="5380" width="11.42578125" style="51" customWidth="1"/>
    <col min="5381" max="5381" width="11.5703125" style="51" bestFit="1" customWidth="1"/>
    <col min="5382" max="5382" width="11.85546875" style="51" customWidth="1"/>
    <col min="5383" max="5383" width="12" style="51" customWidth="1"/>
    <col min="5384" max="5615" width="9.140625" style="51"/>
    <col min="5616" max="5616" width="5.7109375" style="51" customWidth="1"/>
    <col min="5617" max="5617" width="6.85546875" style="51" customWidth="1"/>
    <col min="5618" max="5618" width="50.140625" style="51" customWidth="1"/>
    <col min="5619" max="5620" width="11.42578125" style="51" customWidth="1"/>
    <col min="5621" max="5624" width="0" style="51" hidden="1" customWidth="1"/>
    <col min="5625" max="5625" width="13.140625" style="51" customWidth="1"/>
    <col min="5626" max="5626" width="12.42578125" style="51" customWidth="1"/>
    <col min="5627" max="5627" width="12.28515625" style="51" customWidth="1"/>
    <col min="5628" max="5630" width="0" style="51" hidden="1" customWidth="1"/>
    <col min="5631" max="5631" width="12.7109375" style="51" customWidth="1"/>
    <col min="5632" max="5632" width="12.42578125" style="51" customWidth="1"/>
    <col min="5633" max="5633" width="13.28515625" style="51" customWidth="1"/>
    <col min="5634" max="5634" width="12.42578125" style="51" customWidth="1"/>
    <col min="5635" max="5635" width="11.7109375" style="51" customWidth="1"/>
    <col min="5636" max="5636" width="11.42578125" style="51" customWidth="1"/>
    <col min="5637" max="5637" width="11.5703125" style="51" bestFit="1" customWidth="1"/>
    <col min="5638" max="5638" width="11.85546875" style="51" customWidth="1"/>
    <col min="5639" max="5639" width="12" style="51" customWidth="1"/>
    <col min="5640" max="5871" width="9.140625" style="51"/>
    <col min="5872" max="5872" width="5.7109375" style="51" customWidth="1"/>
    <col min="5873" max="5873" width="6.85546875" style="51" customWidth="1"/>
    <col min="5874" max="5874" width="50.140625" style="51" customWidth="1"/>
    <col min="5875" max="5876" width="11.42578125" style="51" customWidth="1"/>
    <col min="5877" max="5880" width="0" style="51" hidden="1" customWidth="1"/>
    <col min="5881" max="5881" width="13.140625" style="51" customWidth="1"/>
    <col min="5882" max="5882" width="12.42578125" style="51" customWidth="1"/>
    <col min="5883" max="5883" width="12.28515625" style="51" customWidth="1"/>
    <col min="5884" max="5886" width="0" style="51" hidden="1" customWidth="1"/>
    <col min="5887" max="5887" width="12.7109375" style="51" customWidth="1"/>
    <col min="5888" max="5888" width="12.42578125" style="51" customWidth="1"/>
    <col min="5889" max="5889" width="13.28515625" style="51" customWidth="1"/>
    <col min="5890" max="5890" width="12.42578125" style="51" customWidth="1"/>
    <col min="5891" max="5891" width="11.7109375" style="51" customWidth="1"/>
    <col min="5892" max="5892" width="11.42578125" style="51" customWidth="1"/>
    <col min="5893" max="5893" width="11.5703125" style="51" bestFit="1" customWidth="1"/>
    <col min="5894" max="5894" width="11.85546875" style="51" customWidth="1"/>
    <col min="5895" max="5895" width="12" style="51" customWidth="1"/>
    <col min="5896" max="6127" width="9.140625" style="51"/>
    <col min="6128" max="6128" width="5.7109375" style="51" customWidth="1"/>
    <col min="6129" max="6129" width="6.85546875" style="51" customWidth="1"/>
    <col min="6130" max="6130" width="50.140625" style="51" customWidth="1"/>
    <col min="6131" max="6132" width="11.42578125" style="51" customWidth="1"/>
    <col min="6133" max="6136" width="0" style="51" hidden="1" customWidth="1"/>
    <col min="6137" max="6137" width="13.140625" style="51" customWidth="1"/>
    <col min="6138" max="6138" width="12.42578125" style="51" customWidth="1"/>
    <col min="6139" max="6139" width="12.28515625" style="51" customWidth="1"/>
    <col min="6140" max="6142" width="0" style="51" hidden="1" customWidth="1"/>
    <col min="6143" max="6143" width="12.7109375" style="51" customWidth="1"/>
    <col min="6144" max="6144" width="12.42578125" style="51" customWidth="1"/>
    <col min="6145" max="6145" width="13.28515625" style="51" customWidth="1"/>
    <col min="6146" max="6146" width="12.42578125" style="51" customWidth="1"/>
    <col min="6147" max="6147" width="11.7109375" style="51" customWidth="1"/>
    <col min="6148" max="6148" width="11.42578125" style="51" customWidth="1"/>
    <col min="6149" max="6149" width="11.5703125" style="51" bestFit="1" customWidth="1"/>
    <col min="6150" max="6150" width="11.85546875" style="51" customWidth="1"/>
    <col min="6151" max="6151" width="12" style="51" customWidth="1"/>
    <col min="6152" max="6383" width="9.140625" style="51"/>
    <col min="6384" max="6384" width="5.7109375" style="51" customWidth="1"/>
    <col min="6385" max="6385" width="6.85546875" style="51" customWidth="1"/>
    <col min="6386" max="6386" width="50.140625" style="51" customWidth="1"/>
    <col min="6387" max="6388" width="11.42578125" style="51" customWidth="1"/>
    <col min="6389" max="6392" width="0" style="51" hidden="1" customWidth="1"/>
    <col min="6393" max="6393" width="13.140625" style="51" customWidth="1"/>
    <col min="6394" max="6394" width="12.42578125" style="51" customWidth="1"/>
    <col min="6395" max="6395" width="12.28515625" style="51" customWidth="1"/>
    <col min="6396" max="6398" width="0" style="51" hidden="1" customWidth="1"/>
    <col min="6399" max="6399" width="12.7109375" style="51" customWidth="1"/>
    <col min="6400" max="6400" width="12.42578125" style="51" customWidth="1"/>
    <col min="6401" max="6401" width="13.28515625" style="51" customWidth="1"/>
    <col min="6402" max="6402" width="12.42578125" style="51" customWidth="1"/>
    <col min="6403" max="6403" width="11.7109375" style="51" customWidth="1"/>
    <col min="6404" max="6404" width="11.42578125" style="51" customWidth="1"/>
    <col min="6405" max="6405" width="11.5703125" style="51" bestFit="1" customWidth="1"/>
    <col min="6406" max="6406" width="11.85546875" style="51" customWidth="1"/>
    <col min="6407" max="6407" width="12" style="51" customWidth="1"/>
    <col min="6408" max="6639" width="9.140625" style="51"/>
    <col min="6640" max="6640" width="5.7109375" style="51" customWidth="1"/>
    <col min="6641" max="6641" width="6.85546875" style="51" customWidth="1"/>
    <col min="6642" max="6642" width="50.140625" style="51" customWidth="1"/>
    <col min="6643" max="6644" width="11.42578125" style="51" customWidth="1"/>
    <col min="6645" max="6648" width="0" style="51" hidden="1" customWidth="1"/>
    <col min="6649" max="6649" width="13.140625" style="51" customWidth="1"/>
    <col min="6650" max="6650" width="12.42578125" style="51" customWidth="1"/>
    <col min="6651" max="6651" width="12.28515625" style="51" customWidth="1"/>
    <col min="6652" max="6654" width="0" style="51" hidden="1" customWidth="1"/>
    <col min="6655" max="6655" width="12.7109375" style="51" customWidth="1"/>
    <col min="6656" max="6656" width="12.42578125" style="51" customWidth="1"/>
    <col min="6657" max="6657" width="13.28515625" style="51" customWidth="1"/>
    <col min="6658" max="6658" width="12.42578125" style="51" customWidth="1"/>
    <col min="6659" max="6659" width="11.7109375" style="51" customWidth="1"/>
    <col min="6660" max="6660" width="11.42578125" style="51" customWidth="1"/>
    <col min="6661" max="6661" width="11.5703125" style="51" bestFit="1" customWidth="1"/>
    <col min="6662" max="6662" width="11.85546875" style="51" customWidth="1"/>
    <col min="6663" max="6663" width="12" style="51" customWidth="1"/>
    <col min="6664" max="6895" width="9.140625" style="51"/>
    <col min="6896" max="6896" width="5.7109375" style="51" customWidth="1"/>
    <col min="6897" max="6897" width="6.85546875" style="51" customWidth="1"/>
    <col min="6898" max="6898" width="50.140625" style="51" customWidth="1"/>
    <col min="6899" max="6900" width="11.42578125" style="51" customWidth="1"/>
    <col min="6901" max="6904" width="0" style="51" hidden="1" customWidth="1"/>
    <col min="6905" max="6905" width="13.140625" style="51" customWidth="1"/>
    <col min="6906" max="6906" width="12.42578125" style="51" customWidth="1"/>
    <col min="6907" max="6907" width="12.28515625" style="51" customWidth="1"/>
    <col min="6908" max="6910" width="0" style="51" hidden="1" customWidth="1"/>
    <col min="6911" max="6911" width="12.7109375" style="51" customWidth="1"/>
    <col min="6912" max="6912" width="12.42578125" style="51" customWidth="1"/>
    <col min="6913" max="6913" width="13.28515625" style="51" customWidth="1"/>
    <col min="6914" max="6914" width="12.42578125" style="51" customWidth="1"/>
    <col min="6915" max="6915" width="11.7109375" style="51" customWidth="1"/>
    <col min="6916" max="6916" width="11.42578125" style="51" customWidth="1"/>
    <col min="6917" max="6917" width="11.5703125" style="51" bestFit="1" customWidth="1"/>
    <col min="6918" max="6918" width="11.85546875" style="51" customWidth="1"/>
    <col min="6919" max="6919" width="12" style="51" customWidth="1"/>
    <col min="6920" max="7151" width="9.140625" style="51"/>
    <col min="7152" max="7152" width="5.7109375" style="51" customWidth="1"/>
    <col min="7153" max="7153" width="6.85546875" style="51" customWidth="1"/>
    <col min="7154" max="7154" width="50.140625" style="51" customWidth="1"/>
    <col min="7155" max="7156" width="11.42578125" style="51" customWidth="1"/>
    <col min="7157" max="7160" width="0" style="51" hidden="1" customWidth="1"/>
    <col min="7161" max="7161" width="13.140625" style="51" customWidth="1"/>
    <col min="7162" max="7162" width="12.42578125" style="51" customWidth="1"/>
    <col min="7163" max="7163" width="12.28515625" style="51" customWidth="1"/>
    <col min="7164" max="7166" width="0" style="51" hidden="1" customWidth="1"/>
    <col min="7167" max="7167" width="12.7109375" style="51" customWidth="1"/>
    <col min="7168" max="7168" width="12.42578125" style="51" customWidth="1"/>
    <col min="7169" max="7169" width="13.28515625" style="51" customWidth="1"/>
    <col min="7170" max="7170" width="12.42578125" style="51" customWidth="1"/>
    <col min="7171" max="7171" width="11.7109375" style="51" customWidth="1"/>
    <col min="7172" max="7172" width="11.42578125" style="51" customWidth="1"/>
    <col min="7173" max="7173" width="11.5703125" style="51" bestFit="1" customWidth="1"/>
    <col min="7174" max="7174" width="11.85546875" style="51" customWidth="1"/>
    <col min="7175" max="7175" width="12" style="51" customWidth="1"/>
    <col min="7176" max="7407" width="9.140625" style="51"/>
    <col min="7408" max="7408" width="5.7109375" style="51" customWidth="1"/>
    <col min="7409" max="7409" width="6.85546875" style="51" customWidth="1"/>
    <col min="7410" max="7410" width="50.140625" style="51" customWidth="1"/>
    <col min="7411" max="7412" width="11.42578125" style="51" customWidth="1"/>
    <col min="7413" max="7416" width="0" style="51" hidden="1" customWidth="1"/>
    <col min="7417" max="7417" width="13.140625" style="51" customWidth="1"/>
    <col min="7418" max="7418" width="12.42578125" style="51" customWidth="1"/>
    <col min="7419" max="7419" width="12.28515625" style="51" customWidth="1"/>
    <col min="7420" max="7422" width="0" style="51" hidden="1" customWidth="1"/>
    <col min="7423" max="7423" width="12.7109375" style="51" customWidth="1"/>
    <col min="7424" max="7424" width="12.42578125" style="51" customWidth="1"/>
    <col min="7425" max="7425" width="13.28515625" style="51" customWidth="1"/>
    <col min="7426" max="7426" width="12.42578125" style="51" customWidth="1"/>
    <col min="7427" max="7427" width="11.7109375" style="51" customWidth="1"/>
    <col min="7428" max="7428" width="11.42578125" style="51" customWidth="1"/>
    <col min="7429" max="7429" width="11.5703125" style="51" bestFit="1" customWidth="1"/>
    <col min="7430" max="7430" width="11.85546875" style="51" customWidth="1"/>
    <col min="7431" max="7431" width="12" style="51" customWidth="1"/>
    <col min="7432" max="7663" width="9.140625" style="51"/>
    <col min="7664" max="7664" width="5.7109375" style="51" customWidth="1"/>
    <col min="7665" max="7665" width="6.85546875" style="51" customWidth="1"/>
    <col min="7666" max="7666" width="50.140625" style="51" customWidth="1"/>
    <col min="7667" max="7668" width="11.42578125" style="51" customWidth="1"/>
    <col min="7669" max="7672" width="0" style="51" hidden="1" customWidth="1"/>
    <col min="7673" max="7673" width="13.140625" style="51" customWidth="1"/>
    <col min="7674" max="7674" width="12.42578125" style="51" customWidth="1"/>
    <col min="7675" max="7675" width="12.28515625" style="51" customWidth="1"/>
    <col min="7676" max="7678" width="0" style="51" hidden="1" customWidth="1"/>
    <col min="7679" max="7679" width="12.7109375" style="51" customWidth="1"/>
    <col min="7680" max="7680" width="12.42578125" style="51" customWidth="1"/>
    <col min="7681" max="7681" width="13.28515625" style="51" customWidth="1"/>
    <col min="7682" max="7682" width="12.42578125" style="51" customWidth="1"/>
    <col min="7683" max="7683" width="11.7109375" style="51" customWidth="1"/>
    <col min="7684" max="7684" width="11.42578125" style="51" customWidth="1"/>
    <col min="7685" max="7685" width="11.5703125" style="51" bestFit="1" customWidth="1"/>
    <col min="7686" max="7686" width="11.85546875" style="51" customWidth="1"/>
    <col min="7687" max="7687" width="12" style="51" customWidth="1"/>
    <col min="7688" max="7919" width="9.140625" style="51"/>
    <col min="7920" max="7920" width="5.7109375" style="51" customWidth="1"/>
    <col min="7921" max="7921" width="6.85546875" style="51" customWidth="1"/>
    <col min="7922" max="7922" width="50.140625" style="51" customWidth="1"/>
    <col min="7923" max="7924" width="11.42578125" style="51" customWidth="1"/>
    <col min="7925" max="7928" width="0" style="51" hidden="1" customWidth="1"/>
    <col min="7929" max="7929" width="13.140625" style="51" customWidth="1"/>
    <col min="7930" max="7930" width="12.42578125" style="51" customWidth="1"/>
    <col min="7931" max="7931" width="12.28515625" style="51" customWidth="1"/>
    <col min="7932" max="7934" width="0" style="51" hidden="1" customWidth="1"/>
    <col min="7935" max="7935" width="12.7109375" style="51" customWidth="1"/>
    <col min="7936" max="7936" width="12.42578125" style="51" customWidth="1"/>
    <col min="7937" max="7937" width="13.28515625" style="51" customWidth="1"/>
    <col min="7938" max="7938" width="12.42578125" style="51" customWidth="1"/>
    <col min="7939" max="7939" width="11.7109375" style="51" customWidth="1"/>
    <col min="7940" max="7940" width="11.42578125" style="51" customWidth="1"/>
    <col min="7941" max="7941" width="11.5703125" style="51" bestFit="1" customWidth="1"/>
    <col min="7942" max="7942" width="11.85546875" style="51" customWidth="1"/>
    <col min="7943" max="7943" width="12" style="51" customWidth="1"/>
    <col min="7944" max="8175" width="9.140625" style="51"/>
    <col min="8176" max="8176" width="5.7109375" style="51" customWidth="1"/>
    <col min="8177" max="8177" width="6.85546875" style="51" customWidth="1"/>
    <col min="8178" max="8178" width="50.140625" style="51" customWidth="1"/>
    <col min="8179" max="8180" width="11.42578125" style="51" customWidth="1"/>
    <col min="8181" max="8184" width="0" style="51" hidden="1" customWidth="1"/>
    <col min="8185" max="8185" width="13.140625" style="51" customWidth="1"/>
    <col min="8186" max="8186" width="12.42578125" style="51" customWidth="1"/>
    <col min="8187" max="8187" width="12.28515625" style="51" customWidth="1"/>
    <col min="8188" max="8190" width="0" style="51" hidden="1" customWidth="1"/>
    <col min="8191" max="8191" width="12.7109375" style="51" customWidth="1"/>
    <col min="8192" max="8192" width="12.42578125" style="51" customWidth="1"/>
    <col min="8193" max="8193" width="13.28515625" style="51" customWidth="1"/>
    <col min="8194" max="8194" width="12.42578125" style="51" customWidth="1"/>
    <col min="8195" max="8195" width="11.7109375" style="51" customWidth="1"/>
    <col min="8196" max="8196" width="11.42578125" style="51" customWidth="1"/>
    <col min="8197" max="8197" width="11.5703125" style="51" bestFit="1" customWidth="1"/>
    <col min="8198" max="8198" width="11.85546875" style="51" customWidth="1"/>
    <col min="8199" max="8199" width="12" style="51" customWidth="1"/>
    <col min="8200" max="8431" width="9.140625" style="51"/>
    <col min="8432" max="8432" width="5.7109375" style="51" customWidth="1"/>
    <col min="8433" max="8433" width="6.85546875" style="51" customWidth="1"/>
    <col min="8434" max="8434" width="50.140625" style="51" customWidth="1"/>
    <col min="8435" max="8436" width="11.42578125" style="51" customWidth="1"/>
    <col min="8437" max="8440" width="0" style="51" hidden="1" customWidth="1"/>
    <col min="8441" max="8441" width="13.140625" style="51" customWidth="1"/>
    <col min="8442" max="8442" width="12.42578125" style="51" customWidth="1"/>
    <col min="8443" max="8443" width="12.28515625" style="51" customWidth="1"/>
    <col min="8444" max="8446" width="0" style="51" hidden="1" customWidth="1"/>
    <col min="8447" max="8447" width="12.7109375" style="51" customWidth="1"/>
    <col min="8448" max="8448" width="12.42578125" style="51" customWidth="1"/>
    <col min="8449" max="8449" width="13.28515625" style="51" customWidth="1"/>
    <col min="8450" max="8450" width="12.42578125" style="51" customWidth="1"/>
    <col min="8451" max="8451" width="11.7109375" style="51" customWidth="1"/>
    <col min="8452" max="8452" width="11.42578125" style="51" customWidth="1"/>
    <col min="8453" max="8453" width="11.5703125" style="51" bestFit="1" customWidth="1"/>
    <col min="8454" max="8454" width="11.85546875" style="51" customWidth="1"/>
    <col min="8455" max="8455" width="12" style="51" customWidth="1"/>
    <col min="8456" max="8687" width="9.140625" style="51"/>
    <col min="8688" max="8688" width="5.7109375" style="51" customWidth="1"/>
    <col min="8689" max="8689" width="6.85546875" style="51" customWidth="1"/>
    <col min="8690" max="8690" width="50.140625" style="51" customWidth="1"/>
    <col min="8691" max="8692" width="11.42578125" style="51" customWidth="1"/>
    <col min="8693" max="8696" width="0" style="51" hidden="1" customWidth="1"/>
    <col min="8697" max="8697" width="13.140625" style="51" customWidth="1"/>
    <col min="8698" max="8698" width="12.42578125" style="51" customWidth="1"/>
    <col min="8699" max="8699" width="12.28515625" style="51" customWidth="1"/>
    <col min="8700" max="8702" width="0" style="51" hidden="1" customWidth="1"/>
    <col min="8703" max="8703" width="12.7109375" style="51" customWidth="1"/>
    <col min="8704" max="8704" width="12.42578125" style="51" customWidth="1"/>
    <col min="8705" max="8705" width="13.28515625" style="51" customWidth="1"/>
    <col min="8706" max="8706" width="12.42578125" style="51" customWidth="1"/>
    <col min="8707" max="8707" width="11.7109375" style="51" customWidth="1"/>
    <col min="8708" max="8708" width="11.42578125" style="51" customWidth="1"/>
    <col min="8709" max="8709" width="11.5703125" style="51" bestFit="1" customWidth="1"/>
    <col min="8710" max="8710" width="11.85546875" style="51" customWidth="1"/>
    <col min="8711" max="8711" width="12" style="51" customWidth="1"/>
    <col min="8712" max="8943" width="9.140625" style="51"/>
    <col min="8944" max="8944" width="5.7109375" style="51" customWidth="1"/>
    <col min="8945" max="8945" width="6.85546875" style="51" customWidth="1"/>
    <col min="8946" max="8946" width="50.140625" style="51" customWidth="1"/>
    <col min="8947" max="8948" width="11.42578125" style="51" customWidth="1"/>
    <col min="8949" max="8952" width="0" style="51" hidden="1" customWidth="1"/>
    <col min="8953" max="8953" width="13.140625" style="51" customWidth="1"/>
    <col min="8954" max="8954" width="12.42578125" style="51" customWidth="1"/>
    <col min="8955" max="8955" width="12.28515625" style="51" customWidth="1"/>
    <col min="8956" max="8958" width="0" style="51" hidden="1" customWidth="1"/>
    <col min="8959" max="8959" width="12.7109375" style="51" customWidth="1"/>
    <col min="8960" max="8960" width="12.42578125" style="51" customWidth="1"/>
    <col min="8961" max="8961" width="13.28515625" style="51" customWidth="1"/>
    <col min="8962" max="8962" width="12.42578125" style="51" customWidth="1"/>
    <col min="8963" max="8963" width="11.7109375" style="51" customWidth="1"/>
    <col min="8964" max="8964" width="11.42578125" style="51" customWidth="1"/>
    <col min="8965" max="8965" width="11.5703125" style="51" bestFit="1" customWidth="1"/>
    <col min="8966" max="8966" width="11.85546875" style="51" customWidth="1"/>
    <col min="8967" max="8967" width="12" style="51" customWidth="1"/>
    <col min="8968" max="9199" width="9.140625" style="51"/>
    <col min="9200" max="9200" width="5.7109375" style="51" customWidth="1"/>
    <col min="9201" max="9201" width="6.85546875" style="51" customWidth="1"/>
    <col min="9202" max="9202" width="50.140625" style="51" customWidth="1"/>
    <col min="9203" max="9204" width="11.42578125" style="51" customWidth="1"/>
    <col min="9205" max="9208" width="0" style="51" hidden="1" customWidth="1"/>
    <col min="9209" max="9209" width="13.140625" style="51" customWidth="1"/>
    <col min="9210" max="9210" width="12.42578125" style="51" customWidth="1"/>
    <col min="9211" max="9211" width="12.28515625" style="51" customWidth="1"/>
    <col min="9212" max="9214" width="0" style="51" hidden="1" customWidth="1"/>
    <col min="9215" max="9215" width="12.7109375" style="51" customWidth="1"/>
    <col min="9216" max="9216" width="12.42578125" style="51" customWidth="1"/>
    <col min="9217" max="9217" width="13.28515625" style="51" customWidth="1"/>
    <col min="9218" max="9218" width="12.42578125" style="51" customWidth="1"/>
    <col min="9219" max="9219" width="11.7109375" style="51" customWidth="1"/>
    <col min="9220" max="9220" width="11.42578125" style="51" customWidth="1"/>
    <col min="9221" max="9221" width="11.5703125" style="51" bestFit="1" customWidth="1"/>
    <col min="9222" max="9222" width="11.85546875" style="51" customWidth="1"/>
    <col min="9223" max="9223" width="12" style="51" customWidth="1"/>
    <col min="9224" max="9455" width="9.140625" style="51"/>
    <col min="9456" max="9456" width="5.7109375" style="51" customWidth="1"/>
    <col min="9457" max="9457" width="6.85546875" style="51" customWidth="1"/>
    <col min="9458" max="9458" width="50.140625" style="51" customWidth="1"/>
    <col min="9459" max="9460" width="11.42578125" style="51" customWidth="1"/>
    <col min="9461" max="9464" width="0" style="51" hidden="1" customWidth="1"/>
    <col min="9465" max="9465" width="13.140625" style="51" customWidth="1"/>
    <col min="9466" max="9466" width="12.42578125" style="51" customWidth="1"/>
    <col min="9467" max="9467" width="12.28515625" style="51" customWidth="1"/>
    <col min="9468" max="9470" width="0" style="51" hidden="1" customWidth="1"/>
    <col min="9471" max="9471" width="12.7109375" style="51" customWidth="1"/>
    <col min="9472" max="9472" width="12.42578125" style="51" customWidth="1"/>
    <col min="9473" max="9473" width="13.28515625" style="51" customWidth="1"/>
    <col min="9474" max="9474" width="12.42578125" style="51" customWidth="1"/>
    <col min="9475" max="9475" width="11.7109375" style="51" customWidth="1"/>
    <col min="9476" max="9476" width="11.42578125" style="51" customWidth="1"/>
    <col min="9477" max="9477" width="11.5703125" style="51" bestFit="1" customWidth="1"/>
    <col min="9478" max="9478" width="11.85546875" style="51" customWidth="1"/>
    <col min="9479" max="9479" width="12" style="51" customWidth="1"/>
    <col min="9480" max="9711" width="9.140625" style="51"/>
    <col min="9712" max="9712" width="5.7109375" style="51" customWidth="1"/>
    <col min="9713" max="9713" width="6.85546875" style="51" customWidth="1"/>
    <col min="9714" max="9714" width="50.140625" style="51" customWidth="1"/>
    <col min="9715" max="9716" width="11.42578125" style="51" customWidth="1"/>
    <col min="9717" max="9720" width="0" style="51" hidden="1" customWidth="1"/>
    <col min="9721" max="9721" width="13.140625" style="51" customWidth="1"/>
    <col min="9722" max="9722" width="12.42578125" style="51" customWidth="1"/>
    <col min="9723" max="9723" width="12.28515625" style="51" customWidth="1"/>
    <col min="9724" max="9726" width="0" style="51" hidden="1" customWidth="1"/>
    <col min="9727" max="9727" width="12.7109375" style="51" customWidth="1"/>
    <col min="9728" max="9728" width="12.42578125" style="51" customWidth="1"/>
    <col min="9729" max="9729" width="13.28515625" style="51" customWidth="1"/>
    <col min="9730" max="9730" width="12.42578125" style="51" customWidth="1"/>
    <col min="9731" max="9731" width="11.7109375" style="51" customWidth="1"/>
    <col min="9732" max="9732" width="11.42578125" style="51" customWidth="1"/>
    <col min="9733" max="9733" width="11.5703125" style="51" bestFit="1" customWidth="1"/>
    <col min="9734" max="9734" width="11.85546875" style="51" customWidth="1"/>
    <col min="9735" max="9735" width="12" style="51" customWidth="1"/>
    <col min="9736" max="9967" width="9.140625" style="51"/>
    <col min="9968" max="9968" width="5.7109375" style="51" customWidth="1"/>
    <col min="9969" max="9969" width="6.85546875" style="51" customWidth="1"/>
    <col min="9970" max="9970" width="50.140625" style="51" customWidth="1"/>
    <col min="9971" max="9972" width="11.42578125" style="51" customWidth="1"/>
    <col min="9973" max="9976" width="0" style="51" hidden="1" customWidth="1"/>
    <col min="9977" max="9977" width="13.140625" style="51" customWidth="1"/>
    <col min="9978" max="9978" width="12.42578125" style="51" customWidth="1"/>
    <col min="9979" max="9979" width="12.28515625" style="51" customWidth="1"/>
    <col min="9980" max="9982" width="0" style="51" hidden="1" customWidth="1"/>
    <col min="9983" max="9983" width="12.7109375" style="51" customWidth="1"/>
    <col min="9984" max="9984" width="12.42578125" style="51" customWidth="1"/>
    <col min="9985" max="9985" width="13.28515625" style="51" customWidth="1"/>
    <col min="9986" max="9986" width="12.42578125" style="51" customWidth="1"/>
    <col min="9987" max="9987" width="11.7109375" style="51" customWidth="1"/>
    <col min="9988" max="9988" width="11.42578125" style="51" customWidth="1"/>
    <col min="9989" max="9989" width="11.5703125" style="51" bestFit="1" customWidth="1"/>
    <col min="9990" max="9990" width="11.85546875" style="51" customWidth="1"/>
    <col min="9991" max="9991" width="12" style="51" customWidth="1"/>
    <col min="9992" max="10223" width="9.140625" style="51"/>
    <col min="10224" max="10224" width="5.7109375" style="51" customWidth="1"/>
    <col min="10225" max="10225" width="6.85546875" style="51" customWidth="1"/>
    <col min="10226" max="10226" width="50.140625" style="51" customWidth="1"/>
    <col min="10227" max="10228" width="11.42578125" style="51" customWidth="1"/>
    <col min="10229" max="10232" width="0" style="51" hidden="1" customWidth="1"/>
    <col min="10233" max="10233" width="13.140625" style="51" customWidth="1"/>
    <col min="10234" max="10234" width="12.42578125" style="51" customWidth="1"/>
    <col min="10235" max="10235" width="12.28515625" style="51" customWidth="1"/>
    <col min="10236" max="10238" width="0" style="51" hidden="1" customWidth="1"/>
    <col min="10239" max="10239" width="12.7109375" style="51" customWidth="1"/>
    <col min="10240" max="10240" width="12.42578125" style="51" customWidth="1"/>
    <col min="10241" max="10241" width="13.28515625" style="51" customWidth="1"/>
    <col min="10242" max="10242" width="12.42578125" style="51" customWidth="1"/>
    <col min="10243" max="10243" width="11.7109375" style="51" customWidth="1"/>
    <col min="10244" max="10244" width="11.42578125" style="51" customWidth="1"/>
    <col min="10245" max="10245" width="11.5703125" style="51" bestFit="1" customWidth="1"/>
    <col min="10246" max="10246" width="11.85546875" style="51" customWidth="1"/>
    <col min="10247" max="10247" width="12" style="51" customWidth="1"/>
    <col min="10248" max="10479" width="9.140625" style="51"/>
    <col min="10480" max="10480" width="5.7109375" style="51" customWidth="1"/>
    <col min="10481" max="10481" width="6.85546875" style="51" customWidth="1"/>
    <col min="10482" max="10482" width="50.140625" style="51" customWidth="1"/>
    <col min="10483" max="10484" width="11.42578125" style="51" customWidth="1"/>
    <col min="10485" max="10488" width="0" style="51" hidden="1" customWidth="1"/>
    <col min="10489" max="10489" width="13.140625" style="51" customWidth="1"/>
    <col min="10490" max="10490" width="12.42578125" style="51" customWidth="1"/>
    <col min="10491" max="10491" width="12.28515625" style="51" customWidth="1"/>
    <col min="10492" max="10494" width="0" style="51" hidden="1" customWidth="1"/>
    <col min="10495" max="10495" width="12.7109375" style="51" customWidth="1"/>
    <col min="10496" max="10496" width="12.42578125" style="51" customWidth="1"/>
    <col min="10497" max="10497" width="13.28515625" style="51" customWidth="1"/>
    <col min="10498" max="10498" width="12.42578125" style="51" customWidth="1"/>
    <col min="10499" max="10499" width="11.7109375" style="51" customWidth="1"/>
    <col min="10500" max="10500" width="11.42578125" style="51" customWidth="1"/>
    <col min="10501" max="10501" width="11.5703125" style="51" bestFit="1" customWidth="1"/>
    <col min="10502" max="10502" width="11.85546875" style="51" customWidth="1"/>
    <col min="10503" max="10503" width="12" style="51" customWidth="1"/>
    <col min="10504" max="10735" width="9.140625" style="51"/>
    <col min="10736" max="10736" width="5.7109375" style="51" customWidth="1"/>
    <col min="10737" max="10737" width="6.85546875" style="51" customWidth="1"/>
    <col min="10738" max="10738" width="50.140625" style="51" customWidth="1"/>
    <col min="10739" max="10740" width="11.42578125" style="51" customWidth="1"/>
    <col min="10741" max="10744" width="0" style="51" hidden="1" customWidth="1"/>
    <col min="10745" max="10745" width="13.140625" style="51" customWidth="1"/>
    <col min="10746" max="10746" width="12.42578125" style="51" customWidth="1"/>
    <col min="10747" max="10747" width="12.28515625" style="51" customWidth="1"/>
    <col min="10748" max="10750" width="0" style="51" hidden="1" customWidth="1"/>
    <col min="10751" max="10751" width="12.7109375" style="51" customWidth="1"/>
    <col min="10752" max="10752" width="12.42578125" style="51" customWidth="1"/>
    <col min="10753" max="10753" width="13.28515625" style="51" customWidth="1"/>
    <col min="10754" max="10754" width="12.42578125" style="51" customWidth="1"/>
    <col min="10755" max="10755" width="11.7109375" style="51" customWidth="1"/>
    <col min="10756" max="10756" width="11.42578125" style="51" customWidth="1"/>
    <col min="10757" max="10757" width="11.5703125" style="51" bestFit="1" customWidth="1"/>
    <col min="10758" max="10758" width="11.85546875" style="51" customWidth="1"/>
    <col min="10759" max="10759" width="12" style="51" customWidth="1"/>
    <col min="10760" max="10991" width="9.140625" style="51"/>
    <col min="10992" max="10992" width="5.7109375" style="51" customWidth="1"/>
    <col min="10993" max="10993" width="6.85546875" style="51" customWidth="1"/>
    <col min="10994" max="10994" width="50.140625" style="51" customWidth="1"/>
    <col min="10995" max="10996" width="11.42578125" style="51" customWidth="1"/>
    <col min="10997" max="11000" width="0" style="51" hidden="1" customWidth="1"/>
    <col min="11001" max="11001" width="13.140625" style="51" customWidth="1"/>
    <col min="11002" max="11002" width="12.42578125" style="51" customWidth="1"/>
    <col min="11003" max="11003" width="12.28515625" style="51" customWidth="1"/>
    <col min="11004" max="11006" width="0" style="51" hidden="1" customWidth="1"/>
    <col min="11007" max="11007" width="12.7109375" style="51" customWidth="1"/>
    <col min="11008" max="11008" width="12.42578125" style="51" customWidth="1"/>
    <col min="11009" max="11009" width="13.28515625" style="51" customWidth="1"/>
    <col min="11010" max="11010" width="12.42578125" style="51" customWidth="1"/>
    <col min="11011" max="11011" width="11.7109375" style="51" customWidth="1"/>
    <col min="11012" max="11012" width="11.42578125" style="51" customWidth="1"/>
    <col min="11013" max="11013" width="11.5703125" style="51" bestFit="1" customWidth="1"/>
    <col min="11014" max="11014" width="11.85546875" style="51" customWidth="1"/>
    <col min="11015" max="11015" width="12" style="51" customWidth="1"/>
    <col min="11016" max="11247" width="9.140625" style="51"/>
    <col min="11248" max="11248" width="5.7109375" style="51" customWidth="1"/>
    <col min="11249" max="11249" width="6.85546875" style="51" customWidth="1"/>
    <col min="11250" max="11250" width="50.140625" style="51" customWidth="1"/>
    <col min="11251" max="11252" width="11.42578125" style="51" customWidth="1"/>
    <col min="11253" max="11256" width="0" style="51" hidden="1" customWidth="1"/>
    <col min="11257" max="11257" width="13.140625" style="51" customWidth="1"/>
    <col min="11258" max="11258" width="12.42578125" style="51" customWidth="1"/>
    <col min="11259" max="11259" width="12.28515625" style="51" customWidth="1"/>
    <col min="11260" max="11262" width="0" style="51" hidden="1" customWidth="1"/>
    <col min="11263" max="11263" width="12.7109375" style="51" customWidth="1"/>
    <col min="11264" max="11264" width="12.42578125" style="51" customWidth="1"/>
    <col min="11265" max="11265" width="13.28515625" style="51" customWidth="1"/>
    <col min="11266" max="11266" width="12.42578125" style="51" customWidth="1"/>
    <col min="11267" max="11267" width="11.7109375" style="51" customWidth="1"/>
    <col min="11268" max="11268" width="11.42578125" style="51" customWidth="1"/>
    <col min="11269" max="11269" width="11.5703125" style="51" bestFit="1" customWidth="1"/>
    <col min="11270" max="11270" width="11.85546875" style="51" customWidth="1"/>
    <col min="11271" max="11271" width="12" style="51" customWidth="1"/>
    <col min="11272" max="11503" width="9.140625" style="51"/>
    <col min="11504" max="11504" width="5.7109375" style="51" customWidth="1"/>
    <col min="11505" max="11505" width="6.85546875" style="51" customWidth="1"/>
    <col min="11506" max="11506" width="50.140625" style="51" customWidth="1"/>
    <col min="11507" max="11508" width="11.42578125" style="51" customWidth="1"/>
    <col min="11509" max="11512" width="0" style="51" hidden="1" customWidth="1"/>
    <col min="11513" max="11513" width="13.140625" style="51" customWidth="1"/>
    <col min="11514" max="11514" width="12.42578125" style="51" customWidth="1"/>
    <col min="11515" max="11515" width="12.28515625" style="51" customWidth="1"/>
    <col min="11516" max="11518" width="0" style="51" hidden="1" customWidth="1"/>
    <col min="11519" max="11519" width="12.7109375" style="51" customWidth="1"/>
    <col min="11520" max="11520" width="12.42578125" style="51" customWidth="1"/>
    <col min="11521" max="11521" width="13.28515625" style="51" customWidth="1"/>
    <col min="11522" max="11522" width="12.42578125" style="51" customWidth="1"/>
    <col min="11523" max="11523" width="11.7109375" style="51" customWidth="1"/>
    <col min="11524" max="11524" width="11.42578125" style="51" customWidth="1"/>
    <col min="11525" max="11525" width="11.5703125" style="51" bestFit="1" customWidth="1"/>
    <col min="11526" max="11526" width="11.85546875" style="51" customWidth="1"/>
    <col min="11527" max="11527" width="12" style="51" customWidth="1"/>
    <col min="11528" max="11759" width="9.140625" style="51"/>
    <col min="11760" max="11760" width="5.7109375" style="51" customWidth="1"/>
    <col min="11761" max="11761" width="6.85546875" style="51" customWidth="1"/>
    <col min="11762" max="11762" width="50.140625" style="51" customWidth="1"/>
    <col min="11763" max="11764" width="11.42578125" style="51" customWidth="1"/>
    <col min="11765" max="11768" width="0" style="51" hidden="1" customWidth="1"/>
    <col min="11769" max="11769" width="13.140625" style="51" customWidth="1"/>
    <col min="11770" max="11770" width="12.42578125" style="51" customWidth="1"/>
    <col min="11771" max="11771" width="12.28515625" style="51" customWidth="1"/>
    <col min="11772" max="11774" width="0" style="51" hidden="1" customWidth="1"/>
    <col min="11775" max="11775" width="12.7109375" style="51" customWidth="1"/>
    <col min="11776" max="11776" width="12.42578125" style="51" customWidth="1"/>
    <col min="11777" max="11777" width="13.28515625" style="51" customWidth="1"/>
    <col min="11778" max="11778" width="12.42578125" style="51" customWidth="1"/>
    <col min="11779" max="11779" width="11.7109375" style="51" customWidth="1"/>
    <col min="11780" max="11780" width="11.42578125" style="51" customWidth="1"/>
    <col min="11781" max="11781" width="11.5703125" style="51" bestFit="1" customWidth="1"/>
    <col min="11782" max="11782" width="11.85546875" style="51" customWidth="1"/>
    <col min="11783" max="11783" width="12" style="51" customWidth="1"/>
    <col min="11784" max="12015" width="9.140625" style="51"/>
    <col min="12016" max="12016" width="5.7109375" style="51" customWidth="1"/>
    <col min="12017" max="12017" width="6.85546875" style="51" customWidth="1"/>
    <col min="12018" max="12018" width="50.140625" style="51" customWidth="1"/>
    <col min="12019" max="12020" width="11.42578125" style="51" customWidth="1"/>
    <col min="12021" max="12024" width="0" style="51" hidden="1" customWidth="1"/>
    <col min="12025" max="12025" width="13.140625" style="51" customWidth="1"/>
    <col min="12026" max="12026" width="12.42578125" style="51" customWidth="1"/>
    <col min="12027" max="12027" width="12.28515625" style="51" customWidth="1"/>
    <col min="12028" max="12030" width="0" style="51" hidden="1" customWidth="1"/>
    <col min="12031" max="12031" width="12.7109375" style="51" customWidth="1"/>
    <col min="12032" max="12032" width="12.42578125" style="51" customWidth="1"/>
    <col min="12033" max="12033" width="13.28515625" style="51" customWidth="1"/>
    <col min="12034" max="12034" width="12.42578125" style="51" customWidth="1"/>
    <col min="12035" max="12035" width="11.7109375" style="51" customWidth="1"/>
    <col min="12036" max="12036" width="11.42578125" style="51" customWidth="1"/>
    <col min="12037" max="12037" width="11.5703125" style="51" bestFit="1" customWidth="1"/>
    <col min="12038" max="12038" width="11.85546875" style="51" customWidth="1"/>
    <col min="12039" max="12039" width="12" style="51" customWidth="1"/>
    <col min="12040" max="12271" width="9.140625" style="51"/>
    <col min="12272" max="12272" width="5.7109375" style="51" customWidth="1"/>
    <col min="12273" max="12273" width="6.85546875" style="51" customWidth="1"/>
    <col min="12274" max="12274" width="50.140625" style="51" customWidth="1"/>
    <col min="12275" max="12276" width="11.42578125" style="51" customWidth="1"/>
    <col min="12277" max="12280" width="0" style="51" hidden="1" customWidth="1"/>
    <col min="12281" max="12281" width="13.140625" style="51" customWidth="1"/>
    <col min="12282" max="12282" width="12.42578125" style="51" customWidth="1"/>
    <col min="12283" max="12283" width="12.28515625" style="51" customWidth="1"/>
    <col min="12284" max="12286" width="0" style="51" hidden="1" customWidth="1"/>
    <col min="12287" max="12287" width="12.7109375" style="51" customWidth="1"/>
    <col min="12288" max="12288" width="12.42578125" style="51" customWidth="1"/>
    <col min="12289" max="12289" width="13.28515625" style="51" customWidth="1"/>
    <col min="12290" max="12290" width="12.42578125" style="51" customWidth="1"/>
    <col min="12291" max="12291" width="11.7109375" style="51" customWidth="1"/>
    <col min="12292" max="12292" width="11.42578125" style="51" customWidth="1"/>
    <col min="12293" max="12293" width="11.5703125" style="51" bestFit="1" customWidth="1"/>
    <col min="12294" max="12294" width="11.85546875" style="51" customWidth="1"/>
    <col min="12295" max="12295" width="12" style="51" customWidth="1"/>
    <col min="12296" max="12527" width="9.140625" style="51"/>
    <col min="12528" max="12528" width="5.7109375" style="51" customWidth="1"/>
    <col min="12529" max="12529" width="6.85546875" style="51" customWidth="1"/>
    <col min="12530" max="12530" width="50.140625" style="51" customWidth="1"/>
    <col min="12531" max="12532" width="11.42578125" style="51" customWidth="1"/>
    <col min="12533" max="12536" width="0" style="51" hidden="1" customWidth="1"/>
    <col min="12537" max="12537" width="13.140625" style="51" customWidth="1"/>
    <col min="12538" max="12538" width="12.42578125" style="51" customWidth="1"/>
    <col min="12539" max="12539" width="12.28515625" style="51" customWidth="1"/>
    <col min="12540" max="12542" width="0" style="51" hidden="1" customWidth="1"/>
    <col min="12543" max="12543" width="12.7109375" style="51" customWidth="1"/>
    <col min="12544" max="12544" width="12.42578125" style="51" customWidth="1"/>
    <col min="12545" max="12545" width="13.28515625" style="51" customWidth="1"/>
    <col min="12546" max="12546" width="12.42578125" style="51" customWidth="1"/>
    <col min="12547" max="12547" width="11.7109375" style="51" customWidth="1"/>
    <col min="12548" max="12548" width="11.42578125" style="51" customWidth="1"/>
    <col min="12549" max="12549" width="11.5703125" style="51" bestFit="1" customWidth="1"/>
    <col min="12550" max="12550" width="11.85546875" style="51" customWidth="1"/>
    <col min="12551" max="12551" width="12" style="51" customWidth="1"/>
    <col min="12552" max="12783" width="9.140625" style="51"/>
    <col min="12784" max="12784" width="5.7109375" style="51" customWidth="1"/>
    <col min="12785" max="12785" width="6.85546875" style="51" customWidth="1"/>
    <col min="12786" max="12786" width="50.140625" style="51" customWidth="1"/>
    <col min="12787" max="12788" width="11.42578125" style="51" customWidth="1"/>
    <col min="12789" max="12792" width="0" style="51" hidden="1" customWidth="1"/>
    <col min="12793" max="12793" width="13.140625" style="51" customWidth="1"/>
    <col min="12794" max="12794" width="12.42578125" style="51" customWidth="1"/>
    <col min="12795" max="12795" width="12.28515625" style="51" customWidth="1"/>
    <col min="12796" max="12798" width="0" style="51" hidden="1" customWidth="1"/>
    <col min="12799" max="12799" width="12.7109375" style="51" customWidth="1"/>
    <col min="12800" max="12800" width="12.42578125" style="51" customWidth="1"/>
    <col min="12801" max="12801" width="13.28515625" style="51" customWidth="1"/>
    <col min="12802" max="12802" width="12.42578125" style="51" customWidth="1"/>
    <col min="12803" max="12803" width="11.7109375" style="51" customWidth="1"/>
    <col min="12804" max="12804" width="11.42578125" style="51" customWidth="1"/>
    <col min="12805" max="12805" width="11.5703125" style="51" bestFit="1" customWidth="1"/>
    <col min="12806" max="12806" width="11.85546875" style="51" customWidth="1"/>
    <col min="12807" max="12807" width="12" style="51" customWidth="1"/>
    <col min="12808" max="13039" width="9.140625" style="51"/>
    <col min="13040" max="13040" width="5.7109375" style="51" customWidth="1"/>
    <col min="13041" max="13041" width="6.85546875" style="51" customWidth="1"/>
    <col min="13042" max="13042" width="50.140625" style="51" customWidth="1"/>
    <col min="13043" max="13044" width="11.42578125" style="51" customWidth="1"/>
    <col min="13045" max="13048" width="0" style="51" hidden="1" customWidth="1"/>
    <col min="13049" max="13049" width="13.140625" style="51" customWidth="1"/>
    <col min="13050" max="13050" width="12.42578125" style="51" customWidth="1"/>
    <col min="13051" max="13051" width="12.28515625" style="51" customWidth="1"/>
    <col min="13052" max="13054" width="0" style="51" hidden="1" customWidth="1"/>
    <col min="13055" max="13055" width="12.7109375" style="51" customWidth="1"/>
    <col min="13056" max="13056" width="12.42578125" style="51" customWidth="1"/>
    <col min="13057" max="13057" width="13.28515625" style="51" customWidth="1"/>
    <col min="13058" max="13058" width="12.42578125" style="51" customWidth="1"/>
    <col min="13059" max="13059" width="11.7109375" style="51" customWidth="1"/>
    <col min="13060" max="13060" width="11.42578125" style="51" customWidth="1"/>
    <col min="13061" max="13061" width="11.5703125" style="51" bestFit="1" customWidth="1"/>
    <col min="13062" max="13062" width="11.85546875" style="51" customWidth="1"/>
    <col min="13063" max="13063" width="12" style="51" customWidth="1"/>
    <col min="13064" max="13295" width="9.140625" style="51"/>
    <col min="13296" max="13296" width="5.7109375" style="51" customWidth="1"/>
    <col min="13297" max="13297" width="6.85546875" style="51" customWidth="1"/>
    <col min="13298" max="13298" width="50.140625" style="51" customWidth="1"/>
    <col min="13299" max="13300" width="11.42578125" style="51" customWidth="1"/>
    <col min="13301" max="13304" width="0" style="51" hidden="1" customWidth="1"/>
    <col min="13305" max="13305" width="13.140625" style="51" customWidth="1"/>
    <col min="13306" max="13306" width="12.42578125" style="51" customWidth="1"/>
    <col min="13307" max="13307" width="12.28515625" style="51" customWidth="1"/>
    <col min="13308" max="13310" width="0" style="51" hidden="1" customWidth="1"/>
    <col min="13311" max="13311" width="12.7109375" style="51" customWidth="1"/>
    <col min="13312" max="13312" width="12.42578125" style="51" customWidth="1"/>
    <col min="13313" max="13313" width="13.28515625" style="51" customWidth="1"/>
    <col min="13314" max="13314" width="12.42578125" style="51" customWidth="1"/>
    <col min="13315" max="13315" width="11.7109375" style="51" customWidth="1"/>
    <col min="13316" max="13316" width="11.42578125" style="51" customWidth="1"/>
    <col min="13317" max="13317" width="11.5703125" style="51" bestFit="1" customWidth="1"/>
    <col min="13318" max="13318" width="11.85546875" style="51" customWidth="1"/>
    <col min="13319" max="13319" width="12" style="51" customWidth="1"/>
    <col min="13320" max="13551" width="9.140625" style="51"/>
    <col min="13552" max="13552" width="5.7109375" style="51" customWidth="1"/>
    <col min="13553" max="13553" width="6.85546875" style="51" customWidth="1"/>
    <col min="13554" max="13554" width="50.140625" style="51" customWidth="1"/>
    <col min="13555" max="13556" width="11.42578125" style="51" customWidth="1"/>
    <col min="13557" max="13560" width="0" style="51" hidden="1" customWidth="1"/>
    <col min="13561" max="13561" width="13.140625" style="51" customWidth="1"/>
    <col min="13562" max="13562" width="12.42578125" style="51" customWidth="1"/>
    <col min="13563" max="13563" width="12.28515625" style="51" customWidth="1"/>
    <col min="13564" max="13566" width="0" style="51" hidden="1" customWidth="1"/>
    <col min="13567" max="13567" width="12.7109375" style="51" customWidth="1"/>
    <col min="13568" max="13568" width="12.42578125" style="51" customWidth="1"/>
    <col min="13569" max="13569" width="13.28515625" style="51" customWidth="1"/>
    <col min="13570" max="13570" width="12.42578125" style="51" customWidth="1"/>
    <col min="13571" max="13571" width="11.7109375" style="51" customWidth="1"/>
    <col min="13572" max="13572" width="11.42578125" style="51" customWidth="1"/>
    <col min="13573" max="13573" width="11.5703125" style="51" bestFit="1" customWidth="1"/>
    <col min="13574" max="13574" width="11.85546875" style="51" customWidth="1"/>
    <col min="13575" max="13575" width="12" style="51" customWidth="1"/>
    <col min="13576" max="13807" width="9.140625" style="51"/>
    <col min="13808" max="13808" width="5.7109375" style="51" customWidth="1"/>
    <col min="13809" max="13809" width="6.85546875" style="51" customWidth="1"/>
    <col min="13810" max="13810" width="50.140625" style="51" customWidth="1"/>
    <col min="13811" max="13812" width="11.42578125" style="51" customWidth="1"/>
    <col min="13813" max="13816" width="0" style="51" hidden="1" customWidth="1"/>
    <col min="13817" max="13817" width="13.140625" style="51" customWidth="1"/>
    <col min="13818" max="13818" width="12.42578125" style="51" customWidth="1"/>
    <col min="13819" max="13819" width="12.28515625" style="51" customWidth="1"/>
    <col min="13820" max="13822" width="0" style="51" hidden="1" customWidth="1"/>
    <col min="13823" max="13823" width="12.7109375" style="51" customWidth="1"/>
    <col min="13824" max="13824" width="12.42578125" style="51" customWidth="1"/>
    <col min="13825" max="13825" width="13.28515625" style="51" customWidth="1"/>
    <col min="13826" max="13826" width="12.42578125" style="51" customWidth="1"/>
    <col min="13827" max="13827" width="11.7109375" style="51" customWidth="1"/>
    <col min="13828" max="13828" width="11.42578125" style="51" customWidth="1"/>
    <col min="13829" max="13829" width="11.5703125" style="51" bestFit="1" customWidth="1"/>
    <col min="13830" max="13830" width="11.85546875" style="51" customWidth="1"/>
    <col min="13831" max="13831" width="12" style="51" customWidth="1"/>
    <col min="13832" max="14063" width="9.140625" style="51"/>
    <col min="14064" max="14064" width="5.7109375" style="51" customWidth="1"/>
    <col min="14065" max="14065" width="6.85546875" style="51" customWidth="1"/>
    <col min="14066" max="14066" width="50.140625" style="51" customWidth="1"/>
    <col min="14067" max="14068" width="11.42578125" style="51" customWidth="1"/>
    <col min="14069" max="14072" width="0" style="51" hidden="1" customWidth="1"/>
    <col min="14073" max="14073" width="13.140625" style="51" customWidth="1"/>
    <col min="14074" max="14074" width="12.42578125" style="51" customWidth="1"/>
    <col min="14075" max="14075" width="12.28515625" style="51" customWidth="1"/>
    <col min="14076" max="14078" width="0" style="51" hidden="1" customWidth="1"/>
    <col min="14079" max="14079" width="12.7109375" style="51" customWidth="1"/>
    <col min="14080" max="14080" width="12.42578125" style="51" customWidth="1"/>
    <col min="14081" max="14081" width="13.28515625" style="51" customWidth="1"/>
    <col min="14082" max="14082" width="12.42578125" style="51" customWidth="1"/>
    <col min="14083" max="14083" width="11.7109375" style="51" customWidth="1"/>
    <col min="14084" max="14084" width="11.42578125" style="51" customWidth="1"/>
    <col min="14085" max="14085" width="11.5703125" style="51" bestFit="1" customWidth="1"/>
    <col min="14086" max="14086" width="11.85546875" style="51" customWidth="1"/>
    <col min="14087" max="14087" width="12" style="51" customWidth="1"/>
    <col min="14088" max="14319" width="9.140625" style="51"/>
    <col min="14320" max="14320" width="5.7109375" style="51" customWidth="1"/>
    <col min="14321" max="14321" width="6.85546875" style="51" customWidth="1"/>
    <col min="14322" max="14322" width="50.140625" style="51" customWidth="1"/>
    <col min="14323" max="14324" width="11.42578125" style="51" customWidth="1"/>
    <col min="14325" max="14328" width="0" style="51" hidden="1" customWidth="1"/>
    <col min="14329" max="14329" width="13.140625" style="51" customWidth="1"/>
    <col min="14330" max="14330" width="12.42578125" style="51" customWidth="1"/>
    <col min="14331" max="14331" width="12.28515625" style="51" customWidth="1"/>
    <col min="14332" max="14334" width="0" style="51" hidden="1" customWidth="1"/>
    <col min="14335" max="14335" width="12.7109375" style="51" customWidth="1"/>
    <col min="14336" max="14336" width="12.42578125" style="51" customWidth="1"/>
    <col min="14337" max="14337" width="13.28515625" style="51" customWidth="1"/>
    <col min="14338" max="14338" width="12.42578125" style="51" customWidth="1"/>
    <col min="14339" max="14339" width="11.7109375" style="51" customWidth="1"/>
    <col min="14340" max="14340" width="11.42578125" style="51" customWidth="1"/>
    <col min="14341" max="14341" width="11.5703125" style="51" bestFit="1" customWidth="1"/>
    <col min="14342" max="14342" width="11.85546875" style="51" customWidth="1"/>
    <col min="14343" max="14343" width="12" style="51" customWidth="1"/>
    <col min="14344" max="14575" width="9.140625" style="51"/>
    <col min="14576" max="14576" width="5.7109375" style="51" customWidth="1"/>
    <col min="14577" max="14577" width="6.85546875" style="51" customWidth="1"/>
    <col min="14578" max="14578" width="50.140625" style="51" customWidth="1"/>
    <col min="14579" max="14580" width="11.42578125" style="51" customWidth="1"/>
    <col min="14581" max="14584" width="0" style="51" hidden="1" customWidth="1"/>
    <col min="14585" max="14585" width="13.140625" style="51" customWidth="1"/>
    <col min="14586" max="14586" width="12.42578125" style="51" customWidth="1"/>
    <col min="14587" max="14587" width="12.28515625" style="51" customWidth="1"/>
    <col min="14588" max="14590" width="0" style="51" hidden="1" customWidth="1"/>
    <col min="14591" max="14591" width="12.7109375" style="51" customWidth="1"/>
    <col min="14592" max="14592" width="12.42578125" style="51" customWidth="1"/>
    <col min="14593" max="14593" width="13.28515625" style="51" customWidth="1"/>
    <col min="14594" max="14594" width="12.42578125" style="51" customWidth="1"/>
    <col min="14595" max="14595" width="11.7109375" style="51" customWidth="1"/>
    <col min="14596" max="14596" width="11.42578125" style="51" customWidth="1"/>
    <col min="14597" max="14597" width="11.5703125" style="51" bestFit="1" customWidth="1"/>
    <col min="14598" max="14598" width="11.85546875" style="51" customWidth="1"/>
    <col min="14599" max="14599" width="12" style="51" customWidth="1"/>
    <col min="14600" max="14831" width="9.140625" style="51"/>
    <col min="14832" max="14832" width="5.7109375" style="51" customWidth="1"/>
    <col min="14833" max="14833" width="6.85546875" style="51" customWidth="1"/>
    <col min="14834" max="14834" width="50.140625" style="51" customWidth="1"/>
    <col min="14835" max="14836" width="11.42578125" style="51" customWidth="1"/>
    <col min="14837" max="14840" width="0" style="51" hidden="1" customWidth="1"/>
    <col min="14841" max="14841" width="13.140625" style="51" customWidth="1"/>
    <col min="14842" max="14842" width="12.42578125" style="51" customWidth="1"/>
    <col min="14843" max="14843" width="12.28515625" style="51" customWidth="1"/>
    <col min="14844" max="14846" width="0" style="51" hidden="1" customWidth="1"/>
    <col min="14847" max="14847" width="12.7109375" style="51" customWidth="1"/>
    <col min="14848" max="14848" width="12.42578125" style="51" customWidth="1"/>
    <col min="14849" max="14849" width="13.28515625" style="51" customWidth="1"/>
    <col min="14850" max="14850" width="12.42578125" style="51" customWidth="1"/>
    <col min="14851" max="14851" width="11.7109375" style="51" customWidth="1"/>
    <col min="14852" max="14852" width="11.42578125" style="51" customWidth="1"/>
    <col min="14853" max="14853" width="11.5703125" style="51" bestFit="1" customWidth="1"/>
    <col min="14854" max="14854" width="11.85546875" style="51" customWidth="1"/>
    <col min="14855" max="14855" width="12" style="51" customWidth="1"/>
    <col min="14856" max="15087" width="9.140625" style="51"/>
    <col min="15088" max="15088" width="5.7109375" style="51" customWidth="1"/>
    <col min="15089" max="15089" width="6.85546875" style="51" customWidth="1"/>
    <col min="15090" max="15090" width="50.140625" style="51" customWidth="1"/>
    <col min="15091" max="15092" width="11.42578125" style="51" customWidth="1"/>
    <col min="15093" max="15096" width="0" style="51" hidden="1" customWidth="1"/>
    <col min="15097" max="15097" width="13.140625" style="51" customWidth="1"/>
    <col min="15098" max="15098" width="12.42578125" style="51" customWidth="1"/>
    <col min="15099" max="15099" width="12.28515625" style="51" customWidth="1"/>
    <col min="15100" max="15102" width="0" style="51" hidden="1" customWidth="1"/>
    <col min="15103" max="15103" width="12.7109375" style="51" customWidth="1"/>
    <col min="15104" max="15104" width="12.42578125" style="51" customWidth="1"/>
    <col min="15105" max="15105" width="13.28515625" style="51" customWidth="1"/>
    <col min="15106" max="15106" width="12.42578125" style="51" customWidth="1"/>
    <col min="15107" max="15107" width="11.7109375" style="51" customWidth="1"/>
    <col min="15108" max="15108" width="11.42578125" style="51" customWidth="1"/>
    <col min="15109" max="15109" width="11.5703125" style="51" bestFit="1" customWidth="1"/>
    <col min="15110" max="15110" width="11.85546875" style="51" customWidth="1"/>
    <col min="15111" max="15111" width="12" style="51" customWidth="1"/>
    <col min="15112" max="15343" width="9.140625" style="51"/>
    <col min="15344" max="15344" width="5.7109375" style="51" customWidth="1"/>
    <col min="15345" max="15345" width="6.85546875" style="51" customWidth="1"/>
    <col min="15346" max="15346" width="50.140625" style="51" customWidth="1"/>
    <col min="15347" max="15348" width="11.42578125" style="51" customWidth="1"/>
    <col min="15349" max="15352" width="0" style="51" hidden="1" customWidth="1"/>
    <col min="15353" max="15353" width="13.140625" style="51" customWidth="1"/>
    <col min="15354" max="15354" width="12.42578125" style="51" customWidth="1"/>
    <col min="15355" max="15355" width="12.28515625" style="51" customWidth="1"/>
    <col min="15356" max="15358" width="0" style="51" hidden="1" customWidth="1"/>
    <col min="15359" max="15359" width="12.7109375" style="51" customWidth="1"/>
    <col min="15360" max="15360" width="12.42578125" style="51" customWidth="1"/>
    <col min="15361" max="15361" width="13.28515625" style="51" customWidth="1"/>
    <col min="15362" max="15362" width="12.42578125" style="51" customWidth="1"/>
    <col min="15363" max="15363" width="11.7109375" style="51" customWidth="1"/>
    <col min="15364" max="15364" width="11.42578125" style="51" customWidth="1"/>
    <col min="15365" max="15365" width="11.5703125" style="51" bestFit="1" customWidth="1"/>
    <col min="15366" max="15366" width="11.85546875" style="51" customWidth="1"/>
    <col min="15367" max="15367" width="12" style="51" customWidth="1"/>
    <col min="15368" max="15599" width="9.140625" style="51"/>
    <col min="15600" max="15600" width="5.7109375" style="51" customWidth="1"/>
    <col min="15601" max="15601" width="6.85546875" style="51" customWidth="1"/>
    <col min="15602" max="15602" width="50.140625" style="51" customWidth="1"/>
    <col min="15603" max="15604" width="11.42578125" style="51" customWidth="1"/>
    <col min="15605" max="15608" width="0" style="51" hidden="1" customWidth="1"/>
    <col min="15609" max="15609" width="13.140625" style="51" customWidth="1"/>
    <col min="15610" max="15610" width="12.42578125" style="51" customWidth="1"/>
    <col min="15611" max="15611" width="12.28515625" style="51" customWidth="1"/>
    <col min="15612" max="15614" width="0" style="51" hidden="1" customWidth="1"/>
    <col min="15615" max="15615" width="12.7109375" style="51" customWidth="1"/>
    <col min="15616" max="15616" width="12.42578125" style="51" customWidth="1"/>
    <col min="15617" max="15617" width="13.28515625" style="51" customWidth="1"/>
    <col min="15618" max="15618" width="12.42578125" style="51" customWidth="1"/>
    <col min="15619" max="15619" width="11.7109375" style="51" customWidth="1"/>
    <col min="15620" max="15620" width="11.42578125" style="51" customWidth="1"/>
    <col min="15621" max="15621" width="11.5703125" style="51" bestFit="1" customWidth="1"/>
    <col min="15622" max="15622" width="11.85546875" style="51" customWidth="1"/>
    <col min="15623" max="15623" width="12" style="51" customWidth="1"/>
    <col min="15624" max="15855" width="9.140625" style="51"/>
    <col min="15856" max="15856" width="5.7109375" style="51" customWidth="1"/>
    <col min="15857" max="15857" width="6.85546875" style="51" customWidth="1"/>
    <col min="15858" max="15858" width="50.140625" style="51" customWidth="1"/>
    <col min="15859" max="15860" width="11.42578125" style="51" customWidth="1"/>
    <col min="15861" max="15864" width="0" style="51" hidden="1" customWidth="1"/>
    <col min="15865" max="15865" width="13.140625" style="51" customWidth="1"/>
    <col min="15866" max="15866" width="12.42578125" style="51" customWidth="1"/>
    <col min="15867" max="15867" width="12.28515625" style="51" customWidth="1"/>
    <col min="15868" max="15870" width="0" style="51" hidden="1" customWidth="1"/>
    <col min="15871" max="15871" width="12.7109375" style="51" customWidth="1"/>
    <col min="15872" max="15872" width="12.42578125" style="51" customWidth="1"/>
    <col min="15873" max="15873" width="13.28515625" style="51" customWidth="1"/>
    <col min="15874" max="15874" width="12.42578125" style="51" customWidth="1"/>
    <col min="15875" max="15875" width="11.7109375" style="51" customWidth="1"/>
    <col min="15876" max="15876" width="11.42578125" style="51" customWidth="1"/>
    <col min="15877" max="15877" width="11.5703125" style="51" bestFit="1" customWidth="1"/>
    <col min="15878" max="15878" width="11.85546875" style="51" customWidth="1"/>
    <col min="15879" max="15879" width="12" style="51" customWidth="1"/>
    <col min="15880" max="16111" width="9.140625" style="51"/>
    <col min="16112" max="16112" width="5.7109375" style="51" customWidth="1"/>
    <col min="16113" max="16113" width="6.85546875" style="51" customWidth="1"/>
    <col min="16114" max="16114" width="50.140625" style="51" customWidth="1"/>
    <col min="16115" max="16116" width="11.42578125" style="51" customWidth="1"/>
    <col min="16117" max="16120" width="0" style="51" hidden="1" customWidth="1"/>
    <col min="16121" max="16121" width="13.140625" style="51" customWidth="1"/>
    <col min="16122" max="16122" width="12.42578125" style="51" customWidth="1"/>
    <col min="16123" max="16123" width="12.28515625" style="51" customWidth="1"/>
    <col min="16124" max="16126" width="0" style="51" hidden="1" customWidth="1"/>
    <col min="16127" max="16127" width="12.7109375" style="51" customWidth="1"/>
    <col min="16128" max="16128" width="12.42578125" style="51" customWidth="1"/>
    <col min="16129" max="16129" width="13.28515625" style="51" customWidth="1"/>
    <col min="16130" max="16130" width="12.42578125" style="51" customWidth="1"/>
    <col min="16131" max="16131" width="11.7109375" style="51" customWidth="1"/>
    <col min="16132" max="16132" width="11.42578125" style="51" customWidth="1"/>
    <col min="16133" max="16133" width="11.5703125" style="51" bestFit="1" customWidth="1"/>
    <col min="16134" max="16134" width="11.85546875" style="51" customWidth="1"/>
    <col min="16135" max="16135" width="12" style="51" customWidth="1"/>
    <col min="16136" max="16384" width="9.140625" style="51"/>
  </cols>
  <sheetData>
    <row r="1" spans="1:14" ht="13.5" hidden="1" customHeight="1">
      <c r="A1" s="1721" t="s">
        <v>218</v>
      </c>
      <c r="B1" s="1721"/>
      <c r="C1" s="1721"/>
      <c r="D1" s="1721"/>
      <c r="E1" s="1721"/>
      <c r="F1" s="1721"/>
      <c r="G1" s="1721"/>
      <c r="H1" s="1721"/>
      <c r="I1" s="1721"/>
      <c r="J1" s="1721"/>
      <c r="K1" s="207"/>
      <c r="L1" s="207"/>
      <c r="M1" s="207"/>
    </row>
    <row r="2" spans="1:14" ht="39" customHeight="1">
      <c r="A2" s="1739" t="s">
        <v>702</v>
      </c>
      <c r="B2" s="1739"/>
      <c r="C2" s="1739"/>
      <c r="D2" s="1739"/>
      <c r="E2" s="1739"/>
      <c r="F2" s="1739"/>
      <c r="G2" s="1739"/>
      <c r="H2" s="1739"/>
      <c r="I2" s="1739"/>
      <c r="J2" s="1739"/>
      <c r="K2" s="1739"/>
      <c r="L2" s="1739"/>
      <c r="M2" s="1739"/>
    </row>
    <row r="3" spans="1:14" ht="18.75" customHeight="1" thickBot="1">
      <c r="A3" s="1740"/>
      <c r="B3" s="1740"/>
      <c r="C3" s="1740"/>
      <c r="D3" s="1740"/>
      <c r="E3" s="1740"/>
      <c r="F3" s="1740"/>
      <c r="G3" s="1740"/>
      <c r="H3" s="1740"/>
      <c r="I3" s="1740"/>
      <c r="J3" s="1740"/>
      <c r="K3" s="1740"/>
      <c r="L3" s="1740"/>
      <c r="M3" s="1740"/>
    </row>
    <row r="4" spans="1:14" ht="47.25" customHeight="1" thickBot="1">
      <c r="A4" s="1731" t="s">
        <v>219</v>
      </c>
      <c r="B4" s="1732"/>
      <c r="C4" s="1733"/>
      <c r="D4" s="1752" t="s">
        <v>220</v>
      </c>
      <c r="E4" s="1557" t="s">
        <v>221</v>
      </c>
      <c r="F4" s="1727" t="s">
        <v>258</v>
      </c>
      <c r="G4" s="1729" t="s">
        <v>257</v>
      </c>
      <c r="H4" s="1756" t="s">
        <v>278</v>
      </c>
      <c r="I4" s="1723"/>
      <c r="J4" s="1724"/>
      <c r="K4" s="1741" t="s">
        <v>279</v>
      </c>
      <c r="L4" s="1742"/>
      <c r="M4" s="1743"/>
    </row>
    <row r="5" spans="1:14" ht="42.75" hidden="1" customHeight="1">
      <c r="A5" s="1757"/>
      <c r="B5" s="1758"/>
      <c r="C5" s="1747"/>
      <c r="D5" s="1753"/>
      <c r="E5" s="1577" t="s">
        <v>224</v>
      </c>
      <c r="F5" s="1754"/>
      <c r="G5" s="1755"/>
      <c r="H5" s="1584">
        <v>2021</v>
      </c>
      <c r="I5" s="1585">
        <v>2022</v>
      </c>
      <c r="J5" s="1586">
        <v>2023</v>
      </c>
      <c r="K5" s="1587">
        <v>2021</v>
      </c>
      <c r="L5" s="1588">
        <v>2022</v>
      </c>
      <c r="M5" s="1589">
        <v>2023</v>
      </c>
    </row>
    <row r="6" spans="1:14" ht="22.5" customHeight="1" thickBot="1">
      <c r="A6" s="1734"/>
      <c r="B6" s="1735"/>
      <c r="C6" s="1736"/>
      <c r="D6" s="1558"/>
      <c r="E6" s="1559"/>
      <c r="F6" s="1728"/>
      <c r="G6" s="1730"/>
      <c r="H6" s="1706">
        <v>2021</v>
      </c>
      <c r="I6" s="1719">
        <v>2022</v>
      </c>
      <c r="J6" s="1720">
        <v>2023</v>
      </c>
      <c r="K6" s="1592">
        <v>2021</v>
      </c>
      <c r="L6" s="1590">
        <v>2022</v>
      </c>
      <c r="M6" s="1591">
        <v>2023</v>
      </c>
    </row>
    <row r="7" spans="1:14" s="52" customFormat="1" ht="35.25" customHeight="1">
      <c r="A7" s="1750" t="s">
        <v>222</v>
      </c>
      <c r="B7" s="1746" t="s">
        <v>223</v>
      </c>
      <c r="C7" s="1747"/>
      <c r="D7" s="1579" t="s">
        <v>225</v>
      </c>
      <c r="E7" s="1580">
        <f>E8+E9+E11</f>
        <v>3879664.45</v>
      </c>
      <c r="F7" s="1581">
        <f>F8+F9+F11</f>
        <v>5521700.6800000016</v>
      </c>
      <c r="G7" s="1704">
        <f>G8+G9+G11</f>
        <v>6984079.5000000009</v>
      </c>
      <c r="H7" s="1713">
        <f>H8+H9+H11</f>
        <v>12578556.091268545</v>
      </c>
      <c r="I7" s="1713">
        <f t="shared" ref="I7:J7" si="0">I8+I9+I11</f>
        <v>10069117.418019239</v>
      </c>
      <c r="J7" s="1707">
        <f t="shared" si="0"/>
        <v>9870212.0742303003</v>
      </c>
      <c r="K7" s="1705">
        <v>80.857416521489199</v>
      </c>
      <c r="L7" s="1583">
        <v>45.421131753484161</v>
      </c>
      <c r="M7" s="1582">
        <v>41.949730830937682</v>
      </c>
    </row>
    <row r="8" spans="1:14" s="52" customFormat="1" ht="18.75" customHeight="1">
      <c r="A8" s="1750"/>
      <c r="B8" s="1746"/>
      <c r="C8" s="1747"/>
      <c r="D8" s="1568" t="s">
        <v>226</v>
      </c>
      <c r="E8" s="1526">
        <f>E13+E14+E16+E17+E20+E23+E24+E25+E26+E27+E28+E29+E30+E31+E32+E36+E37+E38+E39+E40+E46+E47</f>
        <v>3131833.84</v>
      </c>
      <c r="F8" s="1509">
        <f>F13+F14+F16+F17+F20+F23+F24+F25+F26+F27+F28+F29+F30+F31+F32+F36+F37+F38+F39+F40+F46+F47</f>
        <v>4793539.8000000007</v>
      </c>
      <c r="G8" s="1598">
        <f>G13+G14+G16+G17+G20+G23+G24+G25+G26+G27+G28+G29+G30+G31+G32+G36+G37+G38+G39+G40+G46+G47</f>
        <v>4777577.7000000011</v>
      </c>
      <c r="H8" s="1714">
        <f>H13+H14+H16+H17+H20+H23+H24+H25+H26+H27+H28+H29+H30+H31+H32+H36+H37+H38+H39+H40+H46+H47+H49</f>
        <v>7929833.8520685444</v>
      </c>
      <c r="I8" s="1714">
        <f t="shared" ref="I8:J8" si="1">I13+I14+I16+I17+I20+I23+I24+I25+I26+I27+I28+I29+I30+I31+I32+I36+I37+I38+I39+I40+I46+I47+I49</f>
        <v>7397319.6188192395</v>
      </c>
      <c r="J8" s="1708">
        <f t="shared" si="1"/>
        <v>7354018.6750303004</v>
      </c>
      <c r="K8" s="1605">
        <v>66.696263512510598</v>
      </c>
      <c r="L8" s="208">
        <v>56.659506600239666</v>
      </c>
      <c r="M8" s="1514">
        <v>54.841828152134468</v>
      </c>
    </row>
    <row r="9" spans="1:14" s="52" customFormat="1" ht="18" customHeight="1">
      <c r="A9" s="1750"/>
      <c r="B9" s="1746"/>
      <c r="C9" s="1747"/>
      <c r="D9" s="1568" t="s">
        <v>227</v>
      </c>
      <c r="E9" s="1526">
        <f>E18+E41+E42+E43+E44</f>
        <v>30996.33</v>
      </c>
      <c r="F9" s="1509">
        <f>F18+F41+F42+F43+F44</f>
        <v>363505.98</v>
      </c>
      <c r="G9" s="1598">
        <f>G18+G41+G42+G43+G44</f>
        <v>620129.80000000005</v>
      </c>
      <c r="H9" s="1714">
        <f t="shared" ref="H9:J9" si="2">H18+H41+H42+H43+H44</f>
        <v>2590474.3992000003</v>
      </c>
      <c r="I9" s="1714">
        <f t="shared" si="2"/>
        <v>2671797.7991999998</v>
      </c>
      <c r="J9" s="1708">
        <f t="shared" si="2"/>
        <v>2516193.3991999999</v>
      </c>
      <c r="K9" s="1605">
        <v>320.70779362643111</v>
      </c>
      <c r="L9" s="208">
        <v>330.84492943251547</v>
      </c>
      <c r="M9" s="1514">
        <v>305.75269874145698</v>
      </c>
    </row>
    <row r="10" spans="1:14" s="52" customFormat="1" ht="21.75" customHeight="1">
      <c r="A10" s="1750"/>
      <c r="B10" s="1746"/>
      <c r="C10" s="1747"/>
      <c r="D10" s="1538" t="s">
        <v>228</v>
      </c>
      <c r="E10" s="1526">
        <f t="shared" ref="E10:J10" si="3">E7-E11</f>
        <v>3162830.17</v>
      </c>
      <c r="F10" s="1509">
        <f t="shared" si="3"/>
        <v>5157045.7800000012</v>
      </c>
      <c r="G10" s="1598">
        <f t="shared" si="3"/>
        <v>5397707.5000000009</v>
      </c>
      <c r="H10" s="1714">
        <f t="shared" si="3"/>
        <v>10520308.251268545</v>
      </c>
      <c r="I10" s="1714">
        <f t="shared" si="3"/>
        <v>10069117.418019239</v>
      </c>
      <c r="J10" s="1708">
        <f t="shared" si="3"/>
        <v>9870212.0742303003</v>
      </c>
      <c r="K10" s="1605">
        <v>95.879045159578283</v>
      </c>
      <c r="L10" s="208">
        <v>88.16001888696411</v>
      </c>
      <c r="M10" s="1514">
        <v>83.668382387684005</v>
      </c>
    </row>
    <row r="11" spans="1:14" s="52" customFormat="1" ht="28.5" customHeight="1">
      <c r="A11" s="1751"/>
      <c r="B11" s="1748"/>
      <c r="C11" s="1749"/>
      <c r="D11" s="1568" t="s">
        <v>229</v>
      </c>
      <c r="E11" s="1526">
        <f>E22+E33+E34</f>
        <v>716834.28</v>
      </c>
      <c r="F11" s="1509">
        <f>F22+F33+F34</f>
        <v>364654.9</v>
      </c>
      <c r="G11" s="1598">
        <f>G22+G33+G34</f>
        <v>1586372</v>
      </c>
      <c r="H11" s="1714">
        <f t="shared" ref="H11:J11" si="4">H22+H33+H34</f>
        <v>2058247.84</v>
      </c>
      <c r="I11" s="1714">
        <f t="shared" si="4"/>
        <v>0</v>
      </c>
      <c r="J11" s="1708">
        <f t="shared" si="4"/>
        <v>0</v>
      </c>
      <c r="K11" s="1605">
        <v>29.745598132090066</v>
      </c>
      <c r="L11" s="208">
        <v>-100</v>
      </c>
      <c r="M11" s="1514">
        <v>-100</v>
      </c>
    </row>
    <row r="12" spans="1:14" s="165" customFormat="1" ht="39" customHeight="1">
      <c r="A12" s="1541">
        <v>1016</v>
      </c>
      <c r="B12" s="1593"/>
      <c r="C12" s="1542"/>
      <c r="D12" s="1569" t="s">
        <v>230</v>
      </c>
      <c r="E12" s="1527">
        <f>SUM(E13:E14)</f>
        <v>272200.2</v>
      </c>
      <c r="F12" s="1511">
        <f>SUM(F13:F14)</f>
        <v>355323.9</v>
      </c>
      <c r="G12" s="1599">
        <f t="shared" ref="G12:J12" si="5">SUM(G13:G14)</f>
        <v>319103.59999999998</v>
      </c>
      <c r="H12" s="1715">
        <f t="shared" si="5"/>
        <v>652343</v>
      </c>
      <c r="I12" s="1715">
        <f t="shared" si="5"/>
        <v>677077</v>
      </c>
      <c r="J12" s="1709">
        <f t="shared" si="5"/>
        <v>680978.8</v>
      </c>
      <c r="K12" s="1606">
        <v>114.94044567344278</v>
      </c>
      <c r="L12" s="164">
        <v>139.30065345549224</v>
      </c>
      <c r="M12" s="1512">
        <v>126.87891957345516</v>
      </c>
      <c r="N12" s="51"/>
    </row>
    <row r="13" spans="1:14" ht="32.25" customHeight="1">
      <c r="A13" s="1725"/>
      <c r="B13" s="166">
        <v>1</v>
      </c>
      <c r="C13" s="1543">
        <v>11001</v>
      </c>
      <c r="D13" s="1570" t="s">
        <v>703</v>
      </c>
      <c r="E13" s="1528">
        <v>45250.400000000001</v>
      </c>
      <c r="F13" s="1523">
        <v>38077.199999999997</v>
      </c>
      <c r="G13" s="1600">
        <f>'[1]1'!N8</f>
        <v>45461.8</v>
      </c>
      <c r="H13" s="1716">
        <f>AMPOP!H12</f>
        <v>45461.8</v>
      </c>
      <c r="I13" s="1716">
        <f>AMPOP!I12</f>
        <v>45461.8</v>
      </c>
      <c r="J13" s="1710">
        <f>AMPOP!J12</f>
        <v>45461.8</v>
      </c>
      <c r="K13" s="1605">
        <v>0</v>
      </c>
      <c r="L13" s="208">
        <v>0</v>
      </c>
      <c r="M13" s="1514">
        <v>0</v>
      </c>
    </row>
    <row r="14" spans="1:14" ht="34.5" customHeight="1">
      <c r="A14" s="1726"/>
      <c r="B14" s="166">
        <v>2</v>
      </c>
      <c r="C14" s="1543">
        <v>11002</v>
      </c>
      <c r="D14" s="1570" t="s">
        <v>704</v>
      </c>
      <c r="E14" s="1528">
        <v>226949.8</v>
      </c>
      <c r="F14" s="1523">
        <v>317246.7</v>
      </c>
      <c r="G14" s="1600">
        <f>'[1]1'!N9</f>
        <v>273641.8</v>
      </c>
      <c r="H14" s="1716">
        <f>AMPOP!H13</f>
        <v>606881.19999999995</v>
      </c>
      <c r="I14" s="1716">
        <f>AMPOP!I13</f>
        <v>631615.19999999995</v>
      </c>
      <c r="J14" s="1710">
        <f>AMPOP!J13</f>
        <v>635517</v>
      </c>
      <c r="K14" s="1605">
        <v>134.03621084205705</v>
      </c>
      <c r="L14" s="208">
        <v>162.44353019165931</v>
      </c>
      <c r="M14" s="1514">
        <v>147.95809704511518</v>
      </c>
    </row>
    <row r="15" spans="1:14" s="165" customFormat="1" ht="50.25" customHeight="1">
      <c r="A15" s="1544" t="s">
        <v>232</v>
      </c>
      <c r="B15" s="167"/>
      <c r="C15" s="1545"/>
      <c r="D15" s="1571" t="s">
        <v>705</v>
      </c>
      <c r="E15" s="1529">
        <f>SUM(E16:E18)</f>
        <v>918111.39</v>
      </c>
      <c r="F15" s="1515">
        <f>SUM(F16:F18)</f>
        <v>1178166.1400000001</v>
      </c>
      <c r="G15" s="1601">
        <f t="shared" ref="G15:J15" si="6">G16+G17+G18</f>
        <v>1168054.5</v>
      </c>
      <c r="H15" s="1717">
        <f t="shared" si="6"/>
        <v>1195394.0115069451</v>
      </c>
      <c r="I15" s="1717">
        <f t="shared" si="6"/>
        <v>1205297.6514630804</v>
      </c>
      <c r="J15" s="1711">
        <f t="shared" si="6"/>
        <v>1213894.9512687006</v>
      </c>
      <c r="K15" s="1607">
        <v>2.3979627240805286</v>
      </c>
      <c r="L15" s="168">
        <v>3.2458375412346214</v>
      </c>
      <c r="M15" s="1516">
        <v>3.9818733859336817</v>
      </c>
    </row>
    <row r="16" spans="1:14" ht="32.25" customHeight="1">
      <c r="A16" s="1725"/>
      <c r="B16" s="166">
        <v>3</v>
      </c>
      <c r="C16" s="1546">
        <v>11001</v>
      </c>
      <c r="D16" s="1570" t="s">
        <v>706</v>
      </c>
      <c r="E16" s="1528">
        <v>834381.1</v>
      </c>
      <c r="F16" s="1523">
        <v>1066981.51</v>
      </c>
      <c r="G16" s="1600">
        <f>'[1]1'!N11</f>
        <v>1053075.6000000001</v>
      </c>
      <c r="H16" s="1716">
        <f>AMPOP!H15</f>
        <v>1080412.7118768911</v>
      </c>
      <c r="I16" s="1716">
        <f>AMPOP!I15</f>
        <v>1090316.3318330264</v>
      </c>
      <c r="J16" s="1710">
        <f>AMPOP!J15</f>
        <v>1098913.6316386466</v>
      </c>
      <c r="K16" s="1605">
        <v>2.6595537753311334</v>
      </c>
      <c r="L16" s="208">
        <v>3.60000097172761</v>
      </c>
      <c r="M16" s="1514">
        <v>4.4164000797897671</v>
      </c>
    </row>
    <row r="17" spans="1:15" ht="21.75" customHeight="1">
      <c r="A17" s="1744"/>
      <c r="B17" s="166">
        <v>4</v>
      </c>
      <c r="C17" s="1546">
        <v>11002</v>
      </c>
      <c r="D17" s="1570" t="s">
        <v>707</v>
      </c>
      <c r="E17" s="1528">
        <v>71402.66</v>
      </c>
      <c r="F17" s="1523">
        <v>97486.33</v>
      </c>
      <c r="G17" s="1600">
        <f>'[1]1'!N12</f>
        <v>99042.7</v>
      </c>
      <c r="H17" s="1716">
        <f>AMPOP!H16</f>
        <v>99042.700430054028</v>
      </c>
      <c r="I17" s="1716">
        <f>AMPOP!I16</f>
        <v>99042.720430054018</v>
      </c>
      <c r="J17" s="1710">
        <f>AMPOP!J16</f>
        <v>99042.720430054018</v>
      </c>
      <c r="K17" s="1605">
        <v>4.3421073314675596E-7</v>
      </c>
      <c r="L17" s="208">
        <v>2.0627521294613871E-5</v>
      </c>
      <c r="M17" s="1514">
        <v>2.0627521294613871E-5</v>
      </c>
    </row>
    <row r="18" spans="1:15" ht="33" customHeight="1">
      <c r="A18" s="1726"/>
      <c r="B18" s="166">
        <v>5</v>
      </c>
      <c r="C18" s="1546">
        <v>31001</v>
      </c>
      <c r="D18" s="1572" t="s">
        <v>708</v>
      </c>
      <c r="E18" s="1530">
        <v>12327.63</v>
      </c>
      <c r="F18" s="1523">
        <v>13698.3</v>
      </c>
      <c r="G18" s="1600">
        <f>'[1]1'!N13</f>
        <v>15936.2</v>
      </c>
      <c r="H18" s="1716">
        <f>AMPOP!H17</f>
        <v>15938.599199999999</v>
      </c>
      <c r="I18" s="1716">
        <f>AMPOP!I17</f>
        <v>15938.599199999999</v>
      </c>
      <c r="J18" s="1710">
        <f>AMPOP!J17</f>
        <v>15938.599199999999</v>
      </c>
      <c r="K18" s="1605">
        <v>1.5055031939837704E-2</v>
      </c>
      <c r="L18" s="208">
        <v>1.5055031939837704E-2</v>
      </c>
      <c r="M18" s="1514">
        <v>1.5055031939837704E-2</v>
      </c>
    </row>
    <row r="19" spans="1:15" s="165" customFormat="1" ht="30.75" customHeight="1">
      <c r="A19" s="1547" t="s">
        <v>233</v>
      </c>
      <c r="B19" s="169"/>
      <c r="C19" s="1542"/>
      <c r="D19" s="1569" t="s">
        <v>234</v>
      </c>
      <c r="E19" s="1527">
        <f>+E20</f>
        <v>200162.48</v>
      </c>
      <c r="F19" s="1515">
        <f>+F20</f>
        <v>149471.35999999999</v>
      </c>
      <c r="G19" s="1601">
        <f t="shared" ref="G19:J19" si="7">+G20</f>
        <v>0</v>
      </c>
      <c r="H19" s="1717">
        <f t="shared" si="7"/>
        <v>633955</v>
      </c>
      <c r="I19" s="1717">
        <f t="shared" si="7"/>
        <v>65193.4</v>
      </c>
      <c r="J19" s="1711">
        <f t="shared" si="7"/>
        <v>7613.6</v>
      </c>
      <c r="K19" s="1607" t="e">
        <v>#DIV/0!</v>
      </c>
      <c r="L19" s="168" t="e">
        <v>#DIV/0!</v>
      </c>
      <c r="M19" s="1516" t="e">
        <v>#DIV/0!</v>
      </c>
    </row>
    <row r="20" spans="1:15" ht="24.75" customHeight="1">
      <c r="A20" s="191"/>
      <c r="B20" s="166">
        <v>6</v>
      </c>
      <c r="C20" s="1548">
        <v>12001</v>
      </c>
      <c r="D20" s="1573" t="s">
        <v>235</v>
      </c>
      <c r="E20" s="1531">
        <v>200162.48</v>
      </c>
      <c r="F20" s="1524">
        <v>149471.35999999999</v>
      </c>
      <c r="G20" s="1600">
        <v>0</v>
      </c>
      <c r="H20" s="1716">
        <f>AMPOP!H19</f>
        <v>633955</v>
      </c>
      <c r="I20" s="1716">
        <f>AMPOP!I19</f>
        <v>65193.4</v>
      </c>
      <c r="J20" s="1710">
        <f>AMPOP!J19</f>
        <v>7613.6</v>
      </c>
      <c r="K20" s="1605" t="e">
        <v>#DIV/0!</v>
      </c>
      <c r="L20" s="208" t="e">
        <v>#DIV/0!</v>
      </c>
      <c r="M20" s="1514" t="e">
        <v>#DIV/0!</v>
      </c>
    </row>
    <row r="21" spans="1:15" s="165" customFormat="1" ht="31.5" customHeight="1">
      <c r="A21" s="1544" t="s">
        <v>236</v>
      </c>
      <c r="B21" s="167"/>
      <c r="C21" s="1545"/>
      <c r="D21" s="1571" t="s">
        <v>237</v>
      </c>
      <c r="E21" s="1529">
        <f>SUM(E22:E34)</f>
        <v>1590367.9800000002</v>
      </c>
      <c r="F21" s="1515">
        <f>SUM(F22:F34)</f>
        <v>1735985.36</v>
      </c>
      <c r="G21" s="1601">
        <f t="shared" ref="G21:J21" si="8">SUM(G22:G34)</f>
        <v>2840595.9000000004</v>
      </c>
      <c r="H21" s="1717">
        <f t="shared" si="8"/>
        <v>3574038.9400000004</v>
      </c>
      <c r="I21" s="1717">
        <f t="shared" si="8"/>
        <v>1515791.1</v>
      </c>
      <c r="J21" s="1711">
        <f t="shared" si="8"/>
        <v>1515791.1</v>
      </c>
      <c r="K21" s="1607">
        <v>25.820041491998211</v>
      </c>
      <c r="L21" s="168">
        <v>-46.63827051218373</v>
      </c>
      <c r="M21" s="1516">
        <v>-46.63827051218373</v>
      </c>
    </row>
    <row r="22" spans="1:15" ht="31.5" customHeight="1">
      <c r="A22" s="192"/>
      <c r="B22" s="170">
        <v>7</v>
      </c>
      <c r="C22" s="1549">
        <v>11001</v>
      </c>
      <c r="D22" s="1574" t="s">
        <v>709</v>
      </c>
      <c r="E22" s="1532">
        <v>478844.28</v>
      </c>
      <c r="F22" s="1509">
        <v>361660.37</v>
      </c>
      <c r="G22" s="1602">
        <f>'[1]1'!N17</f>
        <v>423154.3</v>
      </c>
      <c r="H22" s="1716">
        <f>AMPOP!H21</f>
        <v>546828.93999999994</v>
      </c>
      <c r="I22" s="1716">
        <f>AMPOP!I21</f>
        <v>0</v>
      </c>
      <c r="J22" s="1710">
        <f>AMPOP!J21</f>
        <v>0</v>
      </c>
      <c r="K22" s="1605">
        <v>29.226842312603225</v>
      </c>
      <c r="L22" s="208">
        <v>-100</v>
      </c>
      <c r="M22" s="1514">
        <v>-100</v>
      </c>
    </row>
    <row r="23" spans="1:15" ht="23.25" customHeight="1">
      <c r="A23" s="193"/>
      <c r="B23" s="170">
        <v>8</v>
      </c>
      <c r="C23" s="1549">
        <v>11002</v>
      </c>
      <c r="D23" s="1574" t="s">
        <v>239</v>
      </c>
      <c r="E23" s="1532">
        <v>800</v>
      </c>
      <c r="F23" s="1509">
        <v>114375.76</v>
      </c>
      <c r="G23" s="1602">
        <f>'[1]1'!N18</f>
        <v>208238.5</v>
      </c>
      <c r="H23" s="1716">
        <f>AMPOP!H22</f>
        <v>216804.1</v>
      </c>
      <c r="I23" s="1716">
        <f>AMPOP!I22</f>
        <v>216804.1</v>
      </c>
      <c r="J23" s="1710">
        <f>AMPOP!J22</f>
        <v>216804.1</v>
      </c>
      <c r="K23" s="1605">
        <v>4.1133604016548446</v>
      </c>
      <c r="L23" s="208">
        <v>4.1133604016548446</v>
      </c>
      <c r="M23" s="1514">
        <v>4.1133604016548446</v>
      </c>
    </row>
    <row r="24" spans="1:15" ht="32.25" customHeight="1">
      <c r="A24" s="193"/>
      <c r="B24" s="170">
        <v>9</v>
      </c>
      <c r="C24" s="1549">
        <v>11003</v>
      </c>
      <c r="D24" s="1574" t="s">
        <v>710</v>
      </c>
      <c r="E24" s="1532">
        <v>7590</v>
      </c>
      <c r="F24" s="1509">
        <v>6690</v>
      </c>
      <c r="G24" s="1602">
        <f>'[1]1'!N19</f>
        <v>7624.3</v>
      </c>
      <c r="H24" s="1716">
        <f>AMPOP!H23</f>
        <v>7590.4</v>
      </c>
      <c r="I24" s="1716">
        <f>AMPOP!I23</f>
        <v>7590.4</v>
      </c>
      <c r="J24" s="1710">
        <f>AMPOP!J23</f>
        <v>7590.4</v>
      </c>
      <c r="K24" s="1605">
        <v>-0.44463098251642919</v>
      </c>
      <c r="L24" s="208">
        <v>-0.44463098251642919</v>
      </c>
      <c r="M24" s="1514">
        <v>-0.44463098251642919</v>
      </c>
      <c r="O24" s="207"/>
    </row>
    <row r="25" spans="1:15" ht="47.25" customHeight="1">
      <c r="A25" s="192"/>
      <c r="B25" s="1507">
        <v>10</v>
      </c>
      <c r="C25" s="1549">
        <v>11004</v>
      </c>
      <c r="D25" s="1568" t="s">
        <v>711</v>
      </c>
      <c r="E25" s="1526">
        <v>252666.4</v>
      </c>
      <c r="F25" s="1509">
        <v>372692.7</v>
      </c>
      <c r="G25" s="1602">
        <f>'[1]1'!N20</f>
        <v>303897.7</v>
      </c>
      <c r="H25" s="1716">
        <f>AMPOP!H24</f>
        <v>303897.7</v>
      </c>
      <c r="I25" s="1716">
        <f>AMPOP!I24</f>
        <v>303897.7</v>
      </c>
      <c r="J25" s="1710">
        <f>AMPOP!J24</f>
        <v>303897.7</v>
      </c>
      <c r="K25" s="1605">
        <v>0</v>
      </c>
      <c r="L25" s="208">
        <v>0</v>
      </c>
      <c r="M25" s="1514">
        <v>0</v>
      </c>
    </row>
    <row r="26" spans="1:15" ht="45.75" customHeight="1">
      <c r="A26" s="193"/>
      <c r="B26" s="1507">
        <v>11</v>
      </c>
      <c r="C26" s="1549">
        <v>11005</v>
      </c>
      <c r="D26" s="1574" t="s">
        <v>712</v>
      </c>
      <c r="E26" s="1532">
        <v>136209.20000000001</v>
      </c>
      <c r="F26" s="1509">
        <v>201475.3</v>
      </c>
      <c r="G26" s="1602">
        <f>'[1]1'!N21</f>
        <v>164366.29999999999</v>
      </c>
      <c r="H26" s="1716">
        <f>AMPOP!H25</f>
        <v>164366.29999999999</v>
      </c>
      <c r="I26" s="1716">
        <f>AMPOP!I25</f>
        <v>164366.29999999999</v>
      </c>
      <c r="J26" s="1710">
        <f>AMPOP!J25</f>
        <v>164366.29999999999</v>
      </c>
      <c r="K26" s="1605">
        <v>0</v>
      </c>
      <c r="L26" s="208">
        <v>0</v>
      </c>
      <c r="M26" s="1514">
        <v>0</v>
      </c>
    </row>
    <row r="27" spans="1:15" ht="57" customHeight="1">
      <c r="A27" s="193"/>
      <c r="B27" s="1507">
        <v>12</v>
      </c>
      <c r="C27" s="1549">
        <v>11006</v>
      </c>
      <c r="D27" s="1574" t="s">
        <v>713</v>
      </c>
      <c r="E27" s="1532">
        <v>140288</v>
      </c>
      <c r="F27" s="1509">
        <v>190339.5</v>
      </c>
      <c r="G27" s="1602">
        <f>'[1]1'!N22</f>
        <v>169254.1</v>
      </c>
      <c r="H27" s="1716">
        <f>AMPOP!H26</f>
        <v>388284.1</v>
      </c>
      <c r="I27" s="1716">
        <f>AMPOP!I26</f>
        <v>388284.1</v>
      </c>
      <c r="J27" s="1710">
        <f>AMPOP!J26</f>
        <v>388284.1</v>
      </c>
      <c r="K27" s="1605">
        <v>129.40897738961712</v>
      </c>
      <c r="L27" s="208">
        <v>129.40897738961712</v>
      </c>
      <c r="M27" s="1514">
        <v>129.40897738961712</v>
      </c>
    </row>
    <row r="28" spans="1:15" ht="43.5" customHeight="1">
      <c r="A28" s="193"/>
      <c r="B28" s="1507">
        <v>13</v>
      </c>
      <c r="C28" s="1549">
        <v>11007</v>
      </c>
      <c r="D28" s="1574" t="s">
        <v>714</v>
      </c>
      <c r="E28" s="1532">
        <v>127406.1</v>
      </c>
      <c r="F28" s="1509">
        <v>188497.7</v>
      </c>
      <c r="G28" s="1602">
        <f>'[1]1'!N23</f>
        <v>152887.29999999999</v>
      </c>
      <c r="H28" s="1716">
        <f>AMPOP!H27</f>
        <v>171532.79999999999</v>
      </c>
      <c r="I28" s="1716">
        <f>AMPOP!I27</f>
        <v>171532.79999999999</v>
      </c>
      <c r="J28" s="1710">
        <f>AMPOP!J27</f>
        <v>171532.79999999999</v>
      </c>
      <c r="K28" s="1605">
        <v>12.195584590741021</v>
      </c>
      <c r="L28" s="208">
        <v>12.195584590741021</v>
      </c>
      <c r="M28" s="1514">
        <v>12.195584590741021</v>
      </c>
    </row>
    <row r="29" spans="1:15" ht="34.5" customHeight="1">
      <c r="A29" s="193"/>
      <c r="B29" s="1507">
        <v>14</v>
      </c>
      <c r="C29" s="1549">
        <v>11008</v>
      </c>
      <c r="D29" s="1574" t="s">
        <v>715</v>
      </c>
      <c r="E29" s="1532">
        <v>44700</v>
      </c>
      <c r="F29" s="1509">
        <v>73869.100000000006</v>
      </c>
      <c r="G29" s="1602">
        <f>'[1]1'!N24</f>
        <v>55404.9</v>
      </c>
      <c r="H29" s="1716">
        <f>AMPOP!H28</f>
        <v>70764.899999999994</v>
      </c>
      <c r="I29" s="1716">
        <f>AMPOP!I28</f>
        <v>70764.899999999994</v>
      </c>
      <c r="J29" s="1710">
        <f>AMPOP!J28</f>
        <v>70764.899999999994</v>
      </c>
      <c r="K29" s="1605">
        <v>27.72317971876133</v>
      </c>
      <c r="L29" s="208">
        <v>27.72317971876133</v>
      </c>
      <c r="M29" s="1514">
        <v>27.72317971876133</v>
      </c>
    </row>
    <row r="30" spans="1:15" ht="25.5" customHeight="1">
      <c r="A30" s="193"/>
      <c r="B30" s="1508">
        <v>15</v>
      </c>
      <c r="C30" s="1550">
        <v>11009</v>
      </c>
      <c r="D30" s="1574" t="s">
        <v>264</v>
      </c>
      <c r="E30" s="1533">
        <v>15603.8</v>
      </c>
      <c r="F30" s="1509">
        <v>15102.2</v>
      </c>
      <c r="G30" s="1602">
        <f>'[1]1'!N25</f>
        <v>16026.6</v>
      </c>
      <c r="H30" s="1716">
        <f>AMPOP!H29</f>
        <v>16026.6</v>
      </c>
      <c r="I30" s="1716">
        <f>AMPOP!I29</f>
        <v>16026.6</v>
      </c>
      <c r="J30" s="1710">
        <f>AMPOP!J29</f>
        <v>16026.6</v>
      </c>
      <c r="K30" s="1605">
        <v>0</v>
      </c>
      <c r="L30" s="208">
        <v>0</v>
      </c>
      <c r="M30" s="1514">
        <v>0</v>
      </c>
    </row>
    <row r="31" spans="1:15" ht="55.5" customHeight="1">
      <c r="A31" s="193"/>
      <c r="B31" s="1507">
        <v>16</v>
      </c>
      <c r="C31" s="1549">
        <v>11010</v>
      </c>
      <c r="D31" s="1574" t="s">
        <v>716</v>
      </c>
      <c r="E31" s="1532">
        <v>141270.20000000001</v>
      </c>
      <c r="F31" s="1509">
        <v>201288.2</v>
      </c>
      <c r="G31" s="1602">
        <f>'[1]1'!N26</f>
        <v>169524.2</v>
      </c>
      <c r="H31" s="1716">
        <f>AMPOP!H30</f>
        <v>169524.2</v>
      </c>
      <c r="I31" s="1716">
        <f>AMPOP!I30</f>
        <v>169524.2</v>
      </c>
      <c r="J31" s="1710">
        <f>AMPOP!J30</f>
        <v>169524.2</v>
      </c>
      <c r="K31" s="1605">
        <v>0</v>
      </c>
      <c r="L31" s="208">
        <v>0</v>
      </c>
      <c r="M31" s="1514">
        <v>0</v>
      </c>
    </row>
    <row r="32" spans="1:15" ht="44.25" customHeight="1">
      <c r="A32" s="193"/>
      <c r="B32" s="1507">
        <v>17</v>
      </c>
      <c r="C32" s="1549">
        <v>12001</v>
      </c>
      <c r="D32" s="1568" t="s">
        <v>19</v>
      </c>
      <c r="E32" s="1526">
        <v>7000</v>
      </c>
      <c r="F32" s="1509">
        <v>7000</v>
      </c>
      <c r="G32" s="1602">
        <f>'[1]1'!N27</f>
        <v>7000</v>
      </c>
      <c r="H32" s="1716">
        <f>AMPOP!H31</f>
        <v>7000</v>
      </c>
      <c r="I32" s="1716">
        <f>AMPOP!I31</f>
        <v>7000</v>
      </c>
      <c r="J32" s="1710">
        <f>AMPOP!J31</f>
        <v>7000</v>
      </c>
      <c r="K32" s="1605">
        <v>0</v>
      </c>
      <c r="L32" s="208">
        <v>0</v>
      </c>
      <c r="M32" s="1514">
        <v>0</v>
      </c>
    </row>
    <row r="33" spans="1:14" ht="38.25" customHeight="1">
      <c r="A33" s="193"/>
      <c r="B33" s="1507">
        <v>18</v>
      </c>
      <c r="C33" s="1549">
        <v>12002</v>
      </c>
      <c r="D33" s="1574" t="s">
        <v>717</v>
      </c>
      <c r="E33" s="1532">
        <v>120700</v>
      </c>
      <c r="F33" s="1509">
        <v>0</v>
      </c>
      <c r="G33" s="1602">
        <f>'[1]1'!N28</f>
        <v>493680</v>
      </c>
      <c r="H33" s="1716">
        <f>AMPOP!H32</f>
        <v>516632.78</v>
      </c>
      <c r="I33" s="1716">
        <f>AMPOP!I32</f>
        <v>0</v>
      </c>
      <c r="J33" s="1710">
        <f>AMPOP!J32</f>
        <v>0</v>
      </c>
      <c r="K33" s="1605">
        <v>4.6493234483876194</v>
      </c>
      <c r="L33" s="208">
        <v>-100</v>
      </c>
      <c r="M33" s="1514">
        <v>-100</v>
      </c>
    </row>
    <row r="34" spans="1:14" ht="36" customHeight="1">
      <c r="A34" s="194"/>
      <c r="B34" s="1507">
        <v>19</v>
      </c>
      <c r="C34" s="1549">
        <v>32001</v>
      </c>
      <c r="D34" s="1574" t="s">
        <v>718</v>
      </c>
      <c r="E34" s="1532">
        <v>117290</v>
      </c>
      <c r="F34" s="1509">
        <v>2994.53</v>
      </c>
      <c r="G34" s="1602">
        <f>'[1]1'!N29</f>
        <v>669537.69999999995</v>
      </c>
      <c r="H34" s="1716">
        <f>AMPOP!H33</f>
        <v>994786.12000000011</v>
      </c>
      <c r="I34" s="1716">
        <f>AMPOP!I33</f>
        <v>0</v>
      </c>
      <c r="J34" s="1710">
        <f>AMPOP!J33</f>
        <v>0</v>
      </c>
      <c r="K34" s="1605">
        <v>48.578059159327438</v>
      </c>
      <c r="L34" s="208">
        <v>-100</v>
      </c>
      <c r="M34" s="1514">
        <v>-100</v>
      </c>
    </row>
    <row r="35" spans="1:14" s="660" customFormat="1" ht="22.5" customHeight="1">
      <c r="A35" s="1551" t="s">
        <v>247</v>
      </c>
      <c r="B35" s="163"/>
      <c r="C35" s="1542"/>
      <c r="D35" s="1569" t="s">
        <v>248</v>
      </c>
      <c r="E35" s="1527">
        <f>SUM(E36:E44)</f>
        <v>606541.4</v>
      </c>
      <c r="F35" s="1511">
        <f>SUM(F36:F44)</f>
        <v>1762448.7199999997</v>
      </c>
      <c r="G35" s="1599">
        <f t="shared" ref="G35:J35" si="9">SUM(G36:G44)</f>
        <v>2302948.3999999994</v>
      </c>
      <c r="H35" s="1715">
        <f>SUM(H36:H44)</f>
        <v>4825202.8397615999</v>
      </c>
      <c r="I35" s="1715">
        <f t="shared" si="9"/>
        <v>4908135.9665561598</v>
      </c>
      <c r="J35" s="1709">
        <f t="shared" si="9"/>
        <v>4754311.3229616005</v>
      </c>
      <c r="K35" s="1606">
        <v>110.32441716887797</v>
      </c>
      <c r="L35" s="164">
        <v>113.1240109417997</v>
      </c>
      <c r="M35" s="1512">
        <v>106.44454300408998</v>
      </c>
    </row>
    <row r="36" spans="1:14" ht="22.5" customHeight="1">
      <c r="A36" s="1503"/>
      <c r="B36" s="1506">
        <v>20</v>
      </c>
      <c r="C36" s="1546">
        <v>11001</v>
      </c>
      <c r="D36" s="1570" t="s">
        <v>719</v>
      </c>
      <c r="E36" s="1528">
        <v>58992.1</v>
      </c>
      <c r="F36" s="1523">
        <v>170293.17</v>
      </c>
      <c r="G36" s="1600">
        <f>'[1]1'!N31</f>
        <v>251232.2</v>
      </c>
      <c r="H36" s="1716">
        <f>AMPOP!H35</f>
        <v>255191.03976159997</v>
      </c>
      <c r="I36" s="1716">
        <f>AMPOP!I35</f>
        <v>256800.76655616</v>
      </c>
      <c r="J36" s="1710">
        <f>AMPOP!J35</f>
        <v>258580.52296159993</v>
      </c>
      <c r="K36" s="1605">
        <v>1.5757534265113975</v>
      </c>
      <c r="L36" s="208">
        <v>2.216515239686629</v>
      </c>
      <c r="M36" s="1514">
        <v>2.9249037344735171</v>
      </c>
    </row>
    <row r="37" spans="1:14" ht="19.5" customHeight="1">
      <c r="A37" s="1505"/>
      <c r="B37" s="1506">
        <v>21</v>
      </c>
      <c r="C37" s="1546">
        <v>11002</v>
      </c>
      <c r="D37" s="1570" t="s">
        <v>720</v>
      </c>
      <c r="E37" s="1528">
        <v>475554.8</v>
      </c>
      <c r="F37" s="1523">
        <v>1170656.3</v>
      </c>
      <c r="G37" s="1600">
        <f>'[1]1'!N32</f>
        <v>1335485.8999999999</v>
      </c>
      <c r="H37" s="1716">
        <f>AMPOP!H36</f>
        <v>1850350.2</v>
      </c>
      <c r="I37" s="1716">
        <f>AMPOP!I36</f>
        <v>1850350.2</v>
      </c>
      <c r="J37" s="1710">
        <f>AMPOP!J36</f>
        <v>1850350.2</v>
      </c>
      <c r="K37" s="1605">
        <v>38.55258224740524</v>
      </c>
      <c r="L37" s="208">
        <v>38.55258224740524</v>
      </c>
      <c r="M37" s="1514">
        <v>38.55258224740524</v>
      </c>
    </row>
    <row r="38" spans="1:14" ht="19.5" customHeight="1">
      <c r="A38" s="1505"/>
      <c r="B38" s="1506">
        <v>22</v>
      </c>
      <c r="C38" s="1546">
        <v>11003</v>
      </c>
      <c r="D38" s="1570" t="s">
        <v>250</v>
      </c>
      <c r="E38" s="1528"/>
      <c r="F38" s="1523">
        <v>11975.67</v>
      </c>
      <c r="G38" s="1600">
        <f>'[1]1'!N33</f>
        <v>15000</v>
      </c>
      <c r="H38" s="1716">
        <f>AMPOP!H37</f>
        <v>15000</v>
      </c>
      <c r="I38" s="1716">
        <f>AMPOP!I37</f>
        <v>15000</v>
      </c>
      <c r="J38" s="1710">
        <f>AMPOP!J37</f>
        <v>15000</v>
      </c>
      <c r="K38" s="1605">
        <v>0</v>
      </c>
      <c r="L38" s="208">
        <v>0</v>
      </c>
      <c r="M38" s="1514">
        <v>0</v>
      </c>
    </row>
    <row r="39" spans="1:14" ht="19.5" customHeight="1">
      <c r="A39" s="1505"/>
      <c r="B39" s="1506">
        <v>23</v>
      </c>
      <c r="C39" s="1552">
        <v>11004</v>
      </c>
      <c r="D39" s="1575" t="s">
        <v>251</v>
      </c>
      <c r="E39" s="1534"/>
      <c r="F39" s="1525">
        <v>10422</v>
      </c>
      <c r="G39" s="1600">
        <f>'[1]1'!N34</f>
        <v>43710.9</v>
      </c>
      <c r="H39" s="1716">
        <f>AMPOP!H38</f>
        <v>76800</v>
      </c>
      <c r="I39" s="1716">
        <f>AMPOP!I38</f>
        <v>76800</v>
      </c>
      <c r="J39" s="1710">
        <f>AMPOP!J38</f>
        <v>76800</v>
      </c>
      <c r="K39" s="1605">
        <v>75.699882637969012</v>
      </c>
      <c r="L39" s="208">
        <v>75.699882637969012</v>
      </c>
      <c r="M39" s="1514">
        <v>75.699882637969012</v>
      </c>
    </row>
    <row r="40" spans="1:14" ht="19.5" customHeight="1">
      <c r="A40" s="1505"/>
      <c r="B40" s="1506">
        <v>24</v>
      </c>
      <c r="C40" s="1546">
        <v>11005</v>
      </c>
      <c r="D40" s="1570" t="s">
        <v>252</v>
      </c>
      <c r="E40" s="1528">
        <v>53325.8</v>
      </c>
      <c r="F40" s="1523">
        <v>49293.9</v>
      </c>
      <c r="G40" s="1600">
        <f>'[1]1'!N35</f>
        <v>53325.8</v>
      </c>
      <c r="H40" s="1716">
        <f>AMPOP!H39</f>
        <v>53325.8</v>
      </c>
      <c r="I40" s="1716">
        <f>AMPOP!I39</f>
        <v>53325.8</v>
      </c>
      <c r="J40" s="1710">
        <f>AMPOP!J39</f>
        <v>53325.8</v>
      </c>
      <c r="K40" s="1605">
        <v>0</v>
      </c>
      <c r="L40" s="208">
        <v>0</v>
      </c>
      <c r="M40" s="1514">
        <v>0</v>
      </c>
    </row>
    <row r="41" spans="1:14" ht="32.25" customHeight="1">
      <c r="A41" s="1505"/>
      <c r="B41" s="1506"/>
      <c r="C41" s="1552">
        <v>31001</v>
      </c>
      <c r="D41" s="1570" t="s">
        <v>721</v>
      </c>
      <c r="E41" s="1578">
        <v>18668.7</v>
      </c>
      <c r="F41" s="1523">
        <v>3499.5</v>
      </c>
      <c r="G41" s="1600">
        <f>'[1]1'!N36</f>
        <v>3552.8</v>
      </c>
      <c r="H41" s="1716">
        <f>AMPOP!H40</f>
        <v>0</v>
      </c>
      <c r="I41" s="1716">
        <f>AMPOP!I40</f>
        <v>0</v>
      </c>
      <c r="J41" s="1710">
        <f>AMPOP!J40</f>
        <v>0</v>
      </c>
      <c r="K41" s="1605">
        <v>419.59018239135332</v>
      </c>
      <c r="L41" s="208">
        <v>-100</v>
      </c>
      <c r="M41" s="1514">
        <v>-100</v>
      </c>
    </row>
    <row r="42" spans="1:14" ht="33" customHeight="1">
      <c r="A42" s="1504"/>
      <c r="B42" s="1506"/>
      <c r="C42" s="1553">
        <v>31003</v>
      </c>
      <c r="D42" s="1570" t="s">
        <v>722</v>
      </c>
      <c r="E42" s="1528"/>
      <c r="F42" s="1523">
        <v>0</v>
      </c>
      <c r="G42" s="1600">
        <f>'[1]1'!N37</f>
        <v>61126</v>
      </c>
      <c r="H42" s="1716">
        <f>AMPOP!H41</f>
        <v>0</v>
      </c>
      <c r="I42" s="1716">
        <f>AMPOP!I41</f>
        <v>0</v>
      </c>
      <c r="J42" s="1710">
        <f>AMPOP!J41</f>
        <v>0</v>
      </c>
      <c r="K42" s="1605">
        <v>-100</v>
      </c>
      <c r="L42" s="208">
        <v>-100</v>
      </c>
      <c r="M42" s="1514">
        <v>-100</v>
      </c>
    </row>
    <row r="43" spans="1:14" ht="33" customHeight="1">
      <c r="A43" s="1505"/>
      <c r="B43" s="166">
        <v>25</v>
      </c>
      <c r="C43" s="1546">
        <v>32001</v>
      </c>
      <c r="D43" s="1570" t="s">
        <v>253</v>
      </c>
      <c r="E43" s="1528">
        <v>0</v>
      </c>
      <c r="F43" s="1523">
        <v>346308.18</v>
      </c>
      <c r="G43" s="1600">
        <f>'[1]1'!N38</f>
        <v>413781.5</v>
      </c>
      <c r="H43" s="1716">
        <f>AMPOP!H42</f>
        <v>2381608.7000000002</v>
      </c>
      <c r="I43" s="1716">
        <f>AMPOP!I42</f>
        <v>2405032.7999999998</v>
      </c>
      <c r="J43" s="1710">
        <f>AMPOP!J42</f>
        <v>2248867.9</v>
      </c>
      <c r="K43" s="1605">
        <v>475.5715758196053</v>
      </c>
      <c r="L43" s="208">
        <v>481.23255872966763</v>
      </c>
      <c r="M43" s="1514">
        <v>443.49164957834023</v>
      </c>
    </row>
    <row r="44" spans="1:14" ht="21" customHeight="1">
      <c r="A44" s="1504"/>
      <c r="B44" s="166">
        <v>26</v>
      </c>
      <c r="C44" s="1546">
        <v>32002</v>
      </c>
      <c r="D44" s="1570" t="s">
        <v>29</v>
      </c>
      <c r="E44" s="1528">
        <v>0</v>
      </c>
      <c r="F44" s="1523">
        <v>0</v>
      </c>
      <c r="G44" s="1600">
        <f>'[1]1'!N39</f>
        <v>125733.3</v>
      </c>
      <c r="H44" s="1716">
        <f>AMPOP!H43</f>
        <v>192927.1</v>
      </c>
      <c r="I44" s="1716">
        <f>AMPOP!I43</f>
        <v>250826.4</v>
      </c>
      <c r="J44" s="1710">
        <f>AMPOP!J43</f>
        <v>251386.9</v>
      </c>
      <c r="K44" s="1605">
        <v>53.441530604859651</v>
      </c>
      <c r="L44" s="208">
        <v>99.490827012414371</v>
      </c>
      <c r="M44" s="1514">
        <v>99.936611860183405</v>
      </c>
    </row>
    <row r="45" spans="1:14" s="660" customFormat="1" ht="33.75" customHeight="1">
      <c r="A45" s="1541" t="s">
        <v>254</v>
      </c>
      <c r="B45" s="163"/>
      <c r="C45" s="1542"/>
      <c r="D45" s="1569" t="s">
        <v>255</v>
      </c>
      <c r="E45" s="1527">
        <f>SUM(E46:E47)</f>
        <v>292281</v>
      </c>
      <c r="F45" s="1511">
        <f>SUM(F46:F47)</f>
        <v>340305.2</v>
      </c>
      <c r="G45" s="1599">
        <f t="shared" ref="G45:I45" si="10">SUM(G46:G47)</f>
        <v>353377.10000000003</v>
      </c>
      <c r="H45" s="1715">
        <f t="shared" si="10"/>
        <v>345322.3</v>
      </c>
      <c r="I45" s="1715">
        <f t="shared" si="10"/>
        <v>345322.3</v>
      </c>
      <c r="J45" s="1709">
        <f>SUM(J46:J47)</f>
        <v>345322.3</v>
      </c>
      <c r="K45" s="1606">
        <v>-2.2793780355320337</v>
      </c>
      <c r="L45" s="164">
        <v>-2.2793780355320337</v>
      </c>
      <c r="M45" s="1512">
        <v>-2.2793780355320337</v>
      </c>
    </row>
    <row r="46" spans="1:14" ht="28.5" customHeight="1">
      <c r="A46" s="1725"/>
      <c r="B46" s="166">
        <v>27</v>
      </c>
      <c r="C46" s="1546">
        <v>11001</v>
      </c>
      <c r="D46" s="1570" t="s">
        <v>56</v>
      </c>
      <c r="E46" s="1528">
        <v>40274</v>
      </c>
      <c r="F46" s="1523">
        <v>37895.9</v>
      </c>
      <c r="G46" s="1600">
        <f>'[1]1'!N41</f>
        <v>50604.9</v>
      </c>
      <c r="H46" s="1714">
        <f>AMPOP!H45</f>
        <v>42550.1</v>
      </c>
      <c r="I46" s="1714">
        <f>AMPOP!I45</f>
        <v>42550.1</v>
      </c>
      <c r="J46" s="1708">
        <f>AMPOP!J45</f>
        <v>42550.1</v>
      </c>
      <c r="K46" s="1605">
        <v>-15.917035702076291</v>
      </c>
      <c r="L46" s="208">
        <v>-15.917035702076291</v>
      </c>
      <c r="M46" s="1514">
        <v>-15.917035702076291</v>
      </c>
    </row>
    <row r="47" spans="1:14" ht="21" customHeight="1">
      <c r="A47" s="1726"/>
      <c r="B47" s="166">
        <v>28</v>
      </c>
      <c r="C47" s="1546">
        <v>11002</v>
      </c>
      <c r="D47" s="1572" t="s">
        <v>723</v>
      </c>
      <c r="E47" s="1530">
        <v>252007</v>
      </c>
      <c r="F47" s="1523">
        <v>302409.3</v>
      </c>
      <c r="G47" s="1600">
        <f>'[1]1'!N42</f>
        <v>302772.2</v>
      </c>
      <c r="H47" s="1714">
        <f>AMPOP!H46</f>
        <v>302772.2</v>
      </c>
      <c r="I47" s="1714">
        <f>AMPOP!I46</f>
        <v>302772.2</v>
      </c>
      <c r="J47" s="1708">
        <f>AMPOP!J46</f>
        <v>302772.2</v>
      </c>
      <c r="K47" s="1605">
        <v>0</v>
      </c>
      <c r="L47" s="208">
        <v>0</v>
      </c>
      <c r="M47" s="1514">
        <v>0</v>
      </c>
    </row>
    <row r="48" spans="1:14" s="662" customFormat="1" ht="21.75" customHeight="1">
      <c r="A48" s="1541">
        <v>1020</v>
      </c>
      <c r="B48" s="163"/>
      <c r="C48" s="1542"/>
      <c r="D48" s="1569" t="s">
        <v>273</v>
      </c>
      <c r="E48" s="1535"/>
      <c r="F48" s="1511">
        <f>SUM(F49:F50)</f>
        <v>1274206.1000000001</v>
      </c>
      <c r="G48" s="1599">
        <f t="shared" ref="G48:J48" si="11">SUM(G49:G50)</f>
        <v>1313140.5</v>
      </c>
      <c r="H48" s="1715">
        <f t="shared" si="11"/>
        <v>1352300</v>
      </c>
      <c r="I48" s="1715">
        <f t="shared" si="11"/>
        <v>1352300</v>
      </c>
      <c r="J48" s="1709">
        <f t="shared" si="11"/>
        <v>1352300</v>
      </c>
      <c r="K48" s="1606">
        <v>2.9821256750515204</v>
      </c>
      <c r="L48" s="164">
        <v>2.9821256750515204</v>
      </c>
      <c r="M48" s="1512">
        <v>2.9821256750515204</v>
      </c>
      <c r="N48" s="661"/>
    </row>
    <row r="49" spans="1:14" ht="27" customHeight="1" thickBot="1">
      <c r="A49" s="1554"/>
      <c r="B49" s="1555">
        <v>29</v>
      </c>
      <c r="C49" s="1556">
        <v>11001</v>
      </c>
      <c r="D49" s="1576" t="s">
        <v>273</v>
      </c>
      <c r="E49" s="1536"/>
      <c r="F49" s="1518">
        <v>1274206.1000000001</v>
      </c>
      <c r="G49" s="1603">
        <v>1313140.5</v>
      </c>
      <c r="H49" s="1718">
        <f>AMPOP!H48</f>
        <v>1352300</v>
      </c>
      <c r="I49" s="1718">
        <f>AMPOP!I48</f>
        <v>1352300</v>
      </c>
      <c r="J49" s="1712">
        <f>AMPOP!J48</f>
        <v>1352300</v>
      </c>
      <c r="K49" s="1608">
        <v>2.9821256750515204</v>
      </c>
      <c r="L49" s="1521">
        <v>2.9821256750515204</v>
      </c>
      <c r="M49" s="1522">
        <v>2.9821256750515204</v>
      </c>
      <c r="N49" s="209"/>
    </row>
    <row r="50" spans="1:14" ht="26.25" customHeight="1"/>
    <row r="51" spans="1:14" ht="80.25" customHeight="1">
      <c r="B51" s="1745" t="s">
        <v>343</v>
      </c>
      <c r="C51" s="1745"/>
      <c r="D51" s="1745"/>
      <c r="E51" s="1745"/>
      <c r="F51" s="1745"/>
      <c r="G51" s="1745"/>
      <c r="H51" s="1745"/>
      <c r="I51" s="1745"/>
      <c r="J51" s="1745"/>
      <c r="K51" s="1745"/>
      <c r="L51" s="1745"/>
      <c r="M51" s="172"/>
    </row>
    <row r="52" spans="1:14" ht="36" customHeight="1"/>
    <row r="53" spans="1:14" ht="21" customHeight="1"/>
    <row r="54" spans="1:14" ht="26.25" customHeight="1"/>
    <row r="55" spans="1:14" ht="38.25" customHeight="1"/>
    <row r="56" spans="1:14" ht="33" customHeight="1">
      <c r="E56" s="176"/>
      <c r="F56" s="1737"/>
      <c r="G56" s="1737"/>
      <c r="H56" s="1737"/>
      <c r="I56" s="1737"/>
      <c r="J56" s="1737"/>
      <c r="K56" s="207"/>
      <c r="L56" s="207"/>
      <c r="M56" s="207"/>
    </row>
    <row r="57" spans="1:14" ht="48.75" customHeight="1">
      <c r="E57" s="176"/>
      <c r="F57" s="1737"/>
      <c r="G57" s="1737"/>
      <c r="H57" s="1737"/>
      <c r="I57" s="1737"/>
      <c r="J57" s="1737"/>
      <c r="K57" s="207"/>
      <c r="L57" s="207"/>
      <c r="M57" s="207"/>
    </row>
    <row r="58" spans="1:14" ht="33" customHeight="1">
      <c r="E58" s="176"/>
      <c r="F58" s="1738"/>
      <c r="G58" s="1738"/>
      <c r="H58" s="1738"/>
      <c r="I58" s="1738"/>
      <c r="J58" s="1738"/>
      <c r="K58" s="207"/>
      <c r="L58" s="207"/>
      <c r="M58" s="207"/>
    </row>
    <row r="59" spans="1:14" ht="34.5" customHeight="1">
      <c r="E59" s="176"/>
      <c r="F59" s="1738"/>
      <c r="G59" s="1738"/>
      <c r="H59" s="1738"/>
      <c r="I59" s="1738"/>
      <c r="J59" s="1738"/>
      <c r="K59" s="207"/>
      <c r="L59" s="207"/>
      <c r="M59" s="207"/>
    </row>
    <row r="60" spans="1:14" ht="27.75" customHeight="1">
      <c r="E60" s="176"/>
      <c r="F60" s="1738"/>
      <c r="G60" s="1738"/>
      <c r="H60" s="1738"/>
      <c r="I60" s="1738"/>
      <c r="J60" s="1738"/>
      <c r="K60" s="207"/>
      <c r="L60" s="207"/>
      <c r="M60" s="207"/>
    </row>
    <row r="61" spans="1:14" ht="24.75" customHeight="1"/>
    <row r="63" spans="1:14">
      <c r="A63" s="51"/>
      <c r="B63" s="55"/>
      <c r="C63" s="51"/>
      <c r="D63" s="51"/>
      <c r="E63" s="51"/>
      <c r="F63" s="207"/>
      <c r="G63" s="207"/>
      <c r="K63" s="207"/>
      <c r="L63" s="207"/>
      <c r="M63" s="207"/>
    </row>
    <row r="65" ht="77.25" customHeight="1"/>
    <row r="66" ht="93" customHeight="1"/>
    <row r="67" ht="55.5" customHeight="1"/>
  </sheetData>
  <mergeCells count="17">
    <mergeCell ref="A7:A11"/>
    <mergeCell ref="B7:C11"/>
    <mergeCell ref="A4:C6"/>
    <mergeCell ref="F58:J60"/>
    <mergeCell ref="A13:A14"/>
    <mergeCell ref="A16:A18"/>
    <mergeCell ref="A46:A47"/>
    <mergeCell ref="B51:L51"/>
    <mergeCell ref="F56:J56"/>
    <mergeCell ref="F57:J57"/>
    <mergeCell ref="A1:J1"/>
    <mergeCell ref="A2:M3"/>
    <mergeCell ref="D4:D5"/>
    <mergeCell ref="F4:F6"/>
    <mergeCell ref="G4:G6"/>
    <mergeCell ref="H4:J4"/>
    <mergeCell ref="K4:M4"/>
  </mergeCells>
  <pageMargins left="0.24" right="0.16" top="0.2" bottom="0.2" header="0.2" footer="0.2"/>
  <pageSetup paperSize="9" scale="80" orientation="landscape" verticalDpi="0" r:id="rId1"/>
  <colBreaks count="1" manualBreakCount="1">
    <brk id="17" min="1" max="7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N44"/>
  <sheetViews>
    <sheetView zoomScaleNormal="100" workbookViewId="0">
      <pane xSplit="3" topLeftCell="AM1" activePane="topRight" state="frozen"/>
      <selection pane="topRight" activeCell="AO6" sqref="AO6"/>
    </sheetView>
  </sheetViews>
  <sheetFormatPr defaultRowHeight="40.5" customHeight="1"/>
  <cols>
    <col min="1" max="1" width="6.42578125" style="9" customWidth="1"/>
    <col min="2" max="2" width="7.85546875" style="63" customWidth="1"/>
    <col min="3" max="3" width="68" style="266" customWidth="1"/>
    <col min="4" max="4" width="10.85546875" style="27" customWidth="1"/>
    <col min="5" max="5" width="12.7109375" style="5" customWidth="1"/>
    <col min="6" max="6" width="9.5703125" style="5" customWidth="1"/>
    <col min="7" max="7" width="10.140625" style="5" customWidth="1"/>
    <col min="8" max="8" width="8.85546875" style="5" customWidth="1"/>
    <col min="9" max="9" width="9.140625" style="5" customWidth="1"/>
    <col min="10" max="10" width="9.85546875" style="12" customWidth="1"/>
    <col min="11" max="14" width="8.42578125" style="12" customWidth="1"/>
    <col min="15" max="15" width="8.42578125" style="14" customWidth="1"/>
    <col min="16" max="18" width="8.28515625" style="14" customWidth="1"/>
    <col min="19" max="19" width="7.5703125" style="14" customWidth="1"/>
    <col min="20" max="20" width="8.42578125" style="14" customWidth="1"/>
    <col min="21" max="21" width="9.140625" style="14" customWidth="1"/>
    <col min="22" max="22" width="11.7109375" style="7" customWidth="1"/>
    <col min="23" max="23" width="12.7109375" style="5" customWidth="1"/>
    <col min="24" max="24" width="9.5703125" style="30" customWidth="1"/>
    <col min="25" max="25" width="8.7109375" style="30" customWidth="1"/>
    <col min="26" max="26" width="9.7109375" style="30" customWidth="1"/>
    <col min="27" max="27" width="9.85546875" style="33" customWidth="1"/>
    <col min="28" max="28" width="9.7109375" style="33" customWidth="1"/>
    <col min="29" max="29" width="9.5703125" style="33" customWidth="1"/>
    <col min="30" max="30" width="9.42578125" style="33" customWidth="1"/>
    <col min="31" max="31" width="9.85546875" style="33" customWidth="1"/>
    <col min="32" max="32" width="8.85546875" style="644" customWidth="1"/>
    <col min="33" max="33" width="8.28515625" style="644" customWidth="1"/>
    <col min="34" max="34" width="10.5703125" style="644" customWidth="1"/>
    <col min="35" max="35" width="8.28515625" style="644" customWidth="1"/>
    <col min="36" max="36" width="9.42578125" style="644" customWidth="1"/>
    <col min="37" max="37" width="8.42578125" style="644" customWidth="1"/>
    <col min="38" max="38" width="9.140625" style="644" customWidth="1"/>
    <col min="39" max="39" width="12.140625" style="246" customWidth="1"/>
    <col min="40" max="40" width="13.42578125" style="30" customWidth="1"/>
    <col min="41" max="41" width="10.7109375" style="30" customWidth="1"/>
    <col min="42" max="42" width="10" style="30" customWidth="1"/>
    <col min="43" max="43" width="10.7109375" style="30" customWidth="1"/>
    <col min="44" max="44" width="10.5703125" style="33" customWidth="1"/>
    <col min="45" max="45" width="11.5703125" style="33" customWidth="1"/>
    <col min="46" max="46" width="9.85546875" style="33" customWidth="1"/>
    <col min="47" max="47" width="11.85546875" style="33" customWidth="1"/>
    <col min="48" max="48" width="9.5703125" style="33" customWidth="1"/>
    <col min="49" max="49" width="8.28515625" style="33" customWidth="1"/>
    <col min="50" max="50" width="8.85546875" style="644" customWidth="1"/>
    <col min="51" max="51" width="9" style="644" customWidth="1"/>
    <col min="52" max="52" width="9.85546875" style="644" customWidth="1"/>
    <col min="53" max="53" width="10.85546875" style="644" customWidth="1"/>
    <col min="54" max="55" width="9.42578125" style="644" customWidth="1"/>
    <col min="56" max="56" width="9.7109375" style="644" customWidth="1"/>
    <col min="57" max="57" width="12.7109375" style="7" customWidth="1"/>
    <col min="58" max="58" width="12.28515625" style="5" customWidth="1"/>
    <col min="59" max="59" width="9.5703125" style="5" customWidth="1"/>
    <col min="60" max="60" width="9.42578125" style="5" customWidth="1"/>
    <col min="61" max="61" width="9.85546875" style="5" customWidth="1"/>
    <col min="62" max="62" width="9.85546875" style="12" customWidth="1"/>
    <col min="63" max="63" width="8.5703125" style="12" customWidth="1"/>
    <col min="64" max="64" width="10.7109375" style="12" customWidth="1"/>
    <col min="65" max="65" width="11.7109375" style="12" customWidth="1"/>
    <col min="66" max="66" width="9.85546875" style="12" customWidth="1"/>
    <col min="67" max="67" width="9.5703125" style="12" customWidth="1"/>
    <col min="68" max="68" width="8.85546875" style="14" customWidth="1"/>
    <col min="69" max="70" width="8.28515625" style="14" customWidth="1"/>
    <col min="71" max="71" width="10.5703125" style="14" customWidth="1"/>
    <col min="72" max="72" width="9.42578125" style="14" customWidth="1"/>
    <col min="73" max="74" width="9.140625" style="14" customWidth="1"/>
    <col min="75" max="75" width="11.85546875" style="7" customWidth="1"/>
    <col min="76" max="76" width="12.7109375" style="5" customWidth="1"/>
    <col min="77" max="77" width="9.5703125" style="5" customWidth="1"/>
    <col min="78" max="78" width="10" style="5" customWidth="1"/>
    <col min="79" max="79" width="9.7109375" style="5" customWidth="1"/>
    <col min="80" max="81" width="9.85546875" style="12" customWidth="1"/>
    <col min="82" max="82" width="9.5703125" style="12" customWidth="1"/>
    <col min="83" max="83" width="11.42578125" style="12" customWidth="1"/>
    <col min="84" max="84" width="9.42578125" style="12" customWidth="1"/>
    <col min="85" max="85" width="9.28515625" style="12" customWidth="1"/>
    <col min="86" max="86" width="8.85546875" style="14" customWidth="1"/>
    <col min="87" max="88" width="8.28515625" style="14" customWidth="1"/>
    <col min="89" max="89" width="10.5703125" style="14" customWidth="1"/>
    <col min="90" max="90" width="9.42578125" style="14" customWidth="1"/>
    <col min="91" max="91" width="9.5703125" style="14" customWidth="1"/>
    <col min="92" max="92" width="9.140625" style="14" customWidth="1"/>
  </cols>
  <sheetData>
    <row r="1" spans="1:92" s="1" customFormat="1" ht="20.25" customHeight="1">
      <c r="A1" s="2" t="s">
        <v>21</v>
      </c>
      <c r="B1" s="2"/>
      <c r="C1" s="2"/>
      <c r="D1" s="184"/>
      <c r="E1" s="4"/>
      <c r="F1" s="4"/>
      <c r="G1" s="4"/>
      <c r="H1" s="4"/>
      <c r="I1" s="4"/>
      <c r="J1" s="11"/>
      <c r="K1" s="11"/>
      <c r="L1" s="11"/>
      <c r="M1" s="11"/>
      <c r="N1" s="11"/>
      <c r="O1" s="13"/>
      <c r="P1" s="13"/>
      <c r="Q1" s="13"/>
      <c r="R1" s="13"/>
      <c r="S1" s="13"/>
      <c r="T1" s="13"/>
      <c r="U1" s="13"/>
      <c r="V1" s="18"/>
      <c r="W1" s="4"/>
      <c r="X1" s="157"/>
      <c r="Y1" s="2"/>
      <c r="Z1" s="2"/>
      <c r="AA1" s="643"/>
      <c r="AB1" s="643"/>
      <c r="AC1" s="643"/>
      <c r="AD1" s="643"/>
      <c r="AE1" s="643"/>
      <c r="AF1" s="13"/>
      <c r="AG1" s="13"/>
      <c r="AH1" s="13"/>
      <c r="AI1" s="13"/>
      <c r="AJ1" s="13"/>
      <c r="AK1" s="13"/>
      <c r="AL1" s="13"/>
      <c r="AM1" s="18"/>
      <c r="AN1" s="2"/>
      <c r="AO1" s="157"/>
      <c r="AP1" s="2"/>
      <c r="AQ1" s="2"/>
      <c r="AR1" s="643"/>
      <c r="AS1" s="643"/>
      <c r="AT1" s="643"/>
      <c r="AU1" s="643"/>
      <c r="AV1" s="643"/>
      <c r="AW1" s="643"/>
      <c r="AX1" s="13"/>
      <c r="AY1" s="13"/>
      <c r="AZ1" s="13"/>
      <c r="BA1" s="13"/>
      <c r="BB1" s="13"/>
      <c r="BC1" s="13"/>
      <c r="BD1" s="13"/>
      <c r="BE1" s="18"/>
      <c r="BF1" s="4"/>
      <c r="BG1" s="60"/>
      <c r="BH1" s="4"/>
      <c r="BI1" s="4"/>
      <c r="BJ1" s="11"/>
      <c r="BK1" s="11"/>
      <c r="BL1" s="11"/>
      <c r="BM1" s="11"/>
      <c r="BN1" s="11"/>
      <c r="BO1" s="11"/>
      <c r="BP1" s="13"/>
      <c r="BQ1" s="13"/>
      <c r="BR1" s="13"/>
      <c r="BS1" s="13"/>
      <c r="BT1" s="13"/>
      <c r="BU1" s="13"/>
      <c r="BV1" s="13"/>
      <c r="BW1" s="18"/>
      <c r="BX1" s="4"/>
      <c r="BY1" s="60"/>
      <c r="BZ1" s="4"/>
      <c r="CA1" s="4"/>
      <c r="CB1" s="11"/>
      <c r="CC1" s="11"/>
      <c r="CD1" s="11"/>
      <c r="CE1" s="11"/>
      <c r="CF1" s="11"/>
      <c r="CG1" s="11"/>
      <c r="CH1" s="13"/>
      <c r="CI1" s="13"/>
      <c r="CJ1" s="13"/>
      <c r="CK1" s="13"/>
      <c r="CL1" s="13"/>
      <c r="CM1" s="13"/>
      <c r="CN1" s="13"/>
    </row>
    <row r="2" spans="1:92" s="1" customFormat="1" ht="9" customHeight="1" thickBot="1">
      <c r="A2" s="8"/>
      <c r="B2" s="41"/>
      <c r="C2" s="264"/>
      <c r="D2" s="184"/>
      <c r="E2" s="4"/>
      <c r="F2" s="4"/>
      <c r="G2" s="4"/>
      <c r="H2" s="4"/>
      <c r="I2" s="4"/>
      <c r="J2" s="11"/>
      <c r="K2" s="11"/>
      <c r="L2" s="11"/>
      <c r="M2" s="11"/>
      <c r="N2" s="11"/>
      <c r="O2" s="13"/>
      <c r="P2" s="13"/>
      <c r="Q2" s="13"/>
      <c r="R2" s="13"/>
      <c r="S2" s="13"/>
      <c r="T2" s="13"/>
      <c r="U2" s="13"/>
      <c r="V2" s="18"/>
      <c r="W2" s="4"/>
      <c r="X2" s="2"/>
      <c r="Y2" s="2"/>
      <c r="Z2" s="2"/>
      <c r="AA2" s="643"/>
      <c r="AB2" s="643"/>
      <c r="AC2" s="643"/>
      <c r="AD2" s="643"/>
      <c r="AE2" s="643"/>
      <c r="AF2" s="13"/>
      <c r="AG2" s="13"/>
      <c r="AH2" s="13"/>
      <c r="AI2" s="13"/>
      <c r="AJ2" s="13"/>
      <c r="AK2" s="13"/>
      <c r="AL2" s="13"/>
      <c r="AM2" s="18"/>
      <c r="AN2" s="2"/>
      <c r="AO2" s="2"/>
      <c r="AP2" s="2"/>
      <c r="AQ2" s="2"/>
      <c r="AR2" s="643"/>
      <c r="AS2" s="643"/>
      <c r="AT2" s="643"/>
      <c r="AU2" s="643"/>
      <c r="AV2" s="643"/>
      <c r="AW2" s="643"/>
      <c r="AX2" s="13"/>
      <c r="AY2" s="13"/>
      <c r="AZ2" s="13"/>
      <c r="BA2" s="13"/>
      <c r="BB2" s="13"/>
      <c r="BC2" s="13"/>
      <c r="BD2" s="13"/>
      <c r="BE2" s="18"/>
      <c r="BF2" s="4"/>
      <c r="BG2" s="4"/>
      <c r="BH2" s="4"/>
      <c r="BI2" s="4"/>
      <c r="BJ2" s="11"/>
      <c r="BK2" s="11"/>
      <c r="BL2" s="11"/>
      <c r="BM2" s="11"/>
      <c r="BN2" s="11"/>
      <c r="BO2" s="11"/>
      <c r="BP2" s="13"/>
      <c r="BQ2" s="13"/>
      <c r="BR2" s="13"/>
      <c r="BS2" s="13"/>
      <c r="BT2" s="13"/>
      <c r="BU2" s="13"/>
      <c r="BV2" s="13"/>
      <c r="BW2" s="18"/>
      <c r="BX2" s="4"/>
      <c r="BY2" s="4"/>
      <c r="BZ2" s="4"/>
      <c r="CA2" s="4"/>
      <c r="CB2" s="11"/>
      <c r="CC2" s="11"/>
      <c r="CD2" s="11"/>
      <c r="CE2" s="11"/>
      <c r="CF2" s="11"/>
      <c r="CG2" s="11"/>
      <c r="CH2" s="13"/>
      <c r="CI2" s="13"/>
      <c r="CJ2" s="13"/>
      <c r="CK2" s="13"/>
      <c r="CL2" s="13"/>
      <c r="CM2" s="13"/>
      <c r="CN2" s="13"/>
    </row>
    <row r="3" spans="1:92" ht="24" customHeight="1">
      <c r="A3" s="1798" t="s">
        <v>6</v>
      </c>
      <c r="B3" s="1799"/>
      <c r="C3" s="1802" t="s">
        <v>268</v>
      </c>
      <c r="D3" s="1805" t="s">
        <v>267</v>
      </c>
      <c r="E3" s="1805"/>
      <c r="F3" s="1805"/>
      <c r="G3" s="1805"/>
      <c r="H3" s="1805"/>
      <c r="I3" s="1805"/>
      <c r="J3" s="1805"/>
      <c r="K3" s="1805"/>
      <c r="L3" s="1805"/>
      <c r="M3" s="1805"/>
      <c r="N3" s="1805"/>
      <c r="O3" s="1805"/>
      <c r="P3" s="1805"/>
      <c r="Q3" s="1805"/>
      <c r="R3" s="1805"/>
      <c r="S3" s="1805"/>
      <c r="T3" s="1805"/>
      <c r="U3" s="1805"/>
      <c r="V3" s="1806" t="s">
        <v>272</v>
      </c>
      <c r="W3" s="1807"/>
      <c r="X3" s="1807"/>
      <c r="Y3" s="1807"/>
      <c r="Z3" s="1807"/>
      <c r="AA3" s="1807"/>
      <c r="AB3" s="1807"/>
      <c r="AC3" s="1807"/>
      <c r="AD3" s="1807"/>
      <c r="AE3" s="1807"/>
      <c r="AF3" s="1807"/>
      <c r="AG3" s="1807"/>
      <c r="AH3" s="1807"/>
      <c r="AI3" s="1807"/>
      <c r="AJ3" s="1807"/>
      <c r="AK3" s="1807"/>
      <c r="AL3" s="1808"/>
      <c r="AM3" s="1816" t="s">
        <v>39</v>
      </c>
      <c r="AN3" s="1817"/>
      <c r="AO3" s="1817"/>
      <c r="AP3" s="1817"/>
      <c r="AQ3" s="1817"/>
      <c r="AR3" s="1817"/>
      <c r="AS3" s="1817"/>
      <c r="AT3" s="1817"/>
      <c r="AU3" s="1817"/>
      <c r="AV3" s="1817"/>
      <c r="AW3" s="1817"/>
      <c r="AX3" s="1817"/>
      <c r="AY3" s="1817"/>
      <c r="AZ3" s="1817"/>
      <c r="BA3" s="1817"/>
      <c r="BB3" s="1817"/>
      <c r="BC3" s="1817"/>
      <c r="BD3" s="1818"/>
      <c r="BE3" s="1780" t="s">
        <v>280</v>
      </c>
      <c r="BF3" s="1781"/>
      <c r="BG3" s="1781"/>
      <c r="BH3" s="1781"/>
      <c r="BI3" s="1781"/>
      <c r="BJ3" s="1781"/>
      <c r="BK3" s="1781"/>
      <c r="BL3" s="1781"/>
      <c r="BM3" s="1781"/>
      <c r="BN3" s="1781"/>
      <c r="BO3" s="1781"/>
      <c r="BP3" s="1781"/>
      <c r="BQ3" s="1781"/>
      <c r="BR3" s="1781"/>
      <c r="BS3" s="1781"/>
      <c r="BT3" s="1781"/>
      <c r="BU3" s="1781"/>
      <c r="BV3" s="1782"/>
      <c r="BW3" s="1765" t="s">
        <v>281</v>
      </c>
      <c r="BX3" s="1766"/>
      <c r="BY3" s="1766"/>
      <c r="BZ3" s="1766"/>
      <c r="CA3" s="1766"/>
      <c r="CB3" s="1766"/>
      <c r="CC3" s="1766"/>
      <c r="CD3" s="1766"/>
      <c r="CE3" s="1766"/>
      <c r="CF3" s="1766"/>
      <c r="CG3" s="1766"/>
      <c r="CH3" s="1766"/>
      <c r="CI3" s="1766"/>
      <c r="CJ3" s="1766"/>
      <c r="CK3" s="1766"/>
      <c r="CL3" s="1766"/>
      <c r="CM3" s="1766"/>
      <c r="CN3" s="1767"/>
    </row>
    <row r="4" spans="1:92" ht="40.5" customHeight="1">
      <c r="A4" s="1800"/>
      <c r="B4" s="1801"/>
      <c r="C4" s="1803"/>
      <c r="D4" s="1811" t="s">
        <v>20</v>
      </c>
      <c r="E4" s="1794" t="s">
        <v>34</v>
      </c>
      <c r="F4" s="1794" t="s">
        <v>271</v>
      </c>
      <c r="G4" s="1794" t="s">
        <v>33</v>
      </c>
      <c r="H4" s="1794" t="s">
        <v>35</v>
      </c>
      <c r="I4" s="1794" t="s">
        <v>36</v>
      </c>
      <c r="J4" s="1796" t="s">
        <v>37</v>
      </c>
      <c r="K4" s="1796" t="s">
        <v>24</v>
      </c>
      <c r="L4" s="1796" t="s">
        <v>25</v>
      </c>
      <c r="M4" s="1796" t="s">
        <v>32</v>
      </c>
      <c r="N4" s="1794" t="s">
        <v>22</v>
      </c>
      <c r="O4" s="1796" t="s">
        <v>23</v>
      </c>
      <c r="P4" s="1796" t="s">
        <v>31</v>
      </c>
      <c r="Q4" s="1796" t="s">
        <v>269</v>
      </c>
      <c r="R4" s="1796" t="s">
        <v>270</v>
      </c>
      <c r="S4" s="1796" t="s">
        <v>27</v>
      </c>
      <c r="T4" s="1796" t="s">
        <v>26</v>
      </c>
      <c r="U4" s="1813" t="s">
        <v>38</v>
      </c>
      <c r="V4" s="1809" t="s">
        <v>20</v>
      </c>
      <c r="W4" s="1792" t="s">
        <v>34</v>
      </c>
      <c r="X4" s="1792" t="s">
        <v>33</v>
      </c>
      <c r="Y4" s="1792" t="s">
        <v>35</v>
      </c>
      <c r="Z4" s="1792" t="s">
        <v>36</v>
      </c>
      <c r="AA4" s="1787" t="s">
        <v>37</v>
      </c>
      <c r="AB4" s="1787" t="s">
        <v>24</v>
      </c>
      <c r="AC4" s="1787" t="s">
        <v>25</v>
      </c>
      <c r="AD4" s="1787" t="s">
        <v>32</v>
      </c>
      <c r="AE4" s="1792" t="s">
        <v>22</v>
      </c>
      <c r="AF4" s="1787" t="s">
        <v>23</v>
      </c>
      <c r="AG4" s="1787" t="s">
        <v>31</v>
      </c>
      <c r="AH4" s="1787" t="s">
        <v>269</v>
      </c>
      <c r="AI4" s="1787" t="s">
        <v>270</v>
      </c>
      <c r="AJ4" s="1788" t="s">
        <v>27</v>
      </c>
      <c r="AK4" s="1788" t="s">
        <v>26</v>
      </c>
      <c r="AL4" s="1789" t="s">
        <v>38</v>
      </c>
      <c r="AM4" s="1819" t="s">
        <v>20</v>
      </c>
      <c r="AN4" s="1821" t="s">
        <v>34</v>
      </c>
      <c r="AO4" s="1821" t="s">
        <v>33</v>
      </c>
      <c r="AP4" s="1821" t="s">
        <v>35</v>
      </c>
      <c r="AQ4" s="1821" t="s">
        <v>36</v>
      </c>
      <c r="AR4" s="1815" t="s">
        <v>37</v>
      </c>
      <c r="AS4" s="1815" t="s">
        <v>24</v>
      </c>
      <c r="AT4" s="1815" t="s">
        <v>25</v>
      </c>
      <c r="AU4" s="1815" t="s">
        <v>32</v>
      </c>
      <c r="AV4" s="1821" t="s">
        <v>22</v>
      </c>
      <c r="AW4" s="1821" t="s">
        <v>274</v>
      </c>
      <c r="AX4" s="1815" t="s">
        <v>23</v>
      </c>
      <c r="AY4" s="1815" t="s">
        <v>31</v>
      </c>
      <c r="AZ4" s="1815" t="s">
        <v>269</v>
      </c>
      <c r="BA4" s="1815" t="s">
        <v>270</v>
      </c>
      <c r="BB4" s="1776" t="s">
        <v>27</v>
      </c>
      <c r="BC4" s="1776" t="s">
        <v>26</v>
      </c>
      <c r="BD4" s="1778" t="s">
        <v>38</v>
      </c>
      <c r="BE4" s="1783" t="s">
        <v>20</v>
      </c>
      <c r="BF4" s="1785" t="s">
        <v>34</v>
      </c>
      <c r="BG4" s="1785" t="s">
        <v>33</v>
      </c>
      <c r="BH4" s="1785" t="s">
        <v>35</v>
      </c>
      <c r="BI4" s="1785" t="s">
        <v>36</v>
      </c>
      <c r="BJ4" s="1773" t="s">
        <v>37</v>
      </c>
      <c r="BK4" s="1773" t="s">
        <v>24</v>
      </c>
      <c r="BL4" s="1773" t="s">
        <v>25</v>
      </c>
      <c r="BM4" s="1773" t="s">
        <v>32</v>
      </c>
      <c r="BN4" s="1785" t="s">
        <v>22</v>
      </c>
      <c r="BO4" s="1785" t="s">
        <v>274</v>
      </c>
      <c r="BP4" s="1773" t="s">
        <v>23</v>
      </c>
      <c r="BQ4" s="1773" t="s">
        <v>31</v>
      </c>
      <c r="BR4" s="1773" t="s">
        <v>269</v>
      </c>
      <c r="BS4" s="1773" t="s">
        <v>270</v>
      </c>
      <c r="BT4" s="1774" t="s">
        <v>27</v>
      </c>
      <c r="BU4" s="1774" t="s">
        <v>26</v>
      </c>
      <c r="BV4" s="1763" t="s">
        <v>38</v>
      </c>
      <c r="BW4" s="1768" t="s">
        <v>20</v>
      </c>
      <c r="BX4" s="1770" t="s">
        <v>34</v>
      </c>
      <c r="BY4" s="1770" t="s">
        <v>33</v>
      </c>
      <c r="BZ4" s="1770" t="s">
        <v>35</v>
      </c>
      <c r="CA4" s="1770" t="s">
        <v>36</v>
      </c>
      <c r="CB4" s="1772" t="s">
        <v>37</v>
      </c>
      <c r="CC4" s="1772" t="s">
        <v>24</v>
      </c>
      <c r="CD4" s="1772" t="s">
        <v>25</v>
      </c>
      <c r="CE4" s="1772" t="s">
        <v>32</v>
      </c>
      <c r="CF4" s="1770" t="s">
        <v>22</v>
      </c>
      <c r="CG4" s="1770" t="s">
        <v>274</v>
      </c>
      <c r="CH4" s="1772" t="s">
        <v>23</v>
      </c>
      <c r="CI4" s="1772" t="s">
        <v>31</v>
      </c>
      <c r="CJ4" s="1772" t="s">
        <v>269</v>
      </c>
      <c r="CK4" s="1772" t="s">
        <v>270</v>
      </c>
      <c r="CL4" s="1759" t="s">
        <v>27</v>
      </c>
      <c r="CM4" s="1759" t="s">
        <v>26</v>
      </c>
      <c r="CN4" s="1761" t="s">
        <v>38</v>
      </c>
    </row>
    <row r="5" spans="1:92" s="64" customFormat="1" ht="84" customHeight="1" thickBot="1">
      <c r="A5" s="1800"/>
      <c r="B5" s="1801"/>
      <c r="C5" s="1804"/>
      <c r="D5" s="1812"/>
      <c r="E5" s="1795"/>
      <c r="F5" s="1795"/>
      <c r="G5" s="1795"/>
      <c r="H5" s="1795"/>
      <c r="I5" s="1795"/>
      <c r="J5" s="1797"/>
      <c r="K5" s="1797"/>
      <c r="L5" s="1797"/>
      <c r="M5" s="1797"/>
      <c r="N5" s="1795"/>
      <c r="O5" s="1797"/>
      <c r="P5" s="1797"/>
      <c r="Q5" s="1797"/>
      <c r="R5" s="1797"/>
      <c r="S5" s="1797"/>
      <c r="T5" s="1797"/>
      <c r="U5" s="1814"/>
      <c r="V5" s="1810"/>
      <c r="W5" s="1793"/>
      <c r="X5" s="1793"/>
      <c r="Y5" s="1793"/>
      <c r="Z5" s="1793"/>
      <c r="AA5" s="1788"/>
      <c r="AB5" s="1788"/>
      <c r="AC5" s="1788"/>
      <c r="AD5" s="1788"/>
      <c r="AE5" s="1793"/>
      <c r="AF5" s="1788"/>
      <c r="AG5" s="1788"/>
      <c r="AH5" s="1788"/>
      <c r="AI5" s="1788"/>
      <c r="AJ5" s="1791"/>
      <c r="AK5" s="1791"/>
      <c r="AL5" s="1790"/>
      <c r="AM5" s="1820"/>
      <c r="AN5" s="1822"/>
      <c r="AO5" s="1822"/>
      <c r="AP5" s="1822"/>
      <c r="AQ5" s="1822"/>
      <c r="AR5" s="1776"/>
      <c r="AS5" s="1776"/>
      <c r="AT5" s="1776"/>
      <c r="AU5" s="1776"/>
      <c r="AV5" s="1822"/>
      <c r="AW5" s="1822"/>
      <c r="AX5" s="1776"/>
      <c r="AY5" s="1776"/>
      <c r="AZ5" s="1776"/>
      <c r="BA5" s="1776"/>
      <c r="BB5" s="1777"/>
      <c r="BC5" s="1777"/>
      <c r="BD5" s="1779"/>
      <c r="BE5" s="1784"/>
      <c r="BF5" s="1786"/>
      <c r="BG5" s="1786"/>
      <c r="BH5" s="1786"/>
      <c r="BI5" s="1786"/>
      <c r="BJ5" s="1774"/>
      <c r="BK5" s="1774"/>
      <c r="BL5" s="1774"/>
      <c r="BM5" s="1774"/>
      <c r="BN5" s="1786"/>
      <c r="BO5" s="1786"/>
      <c r="BP5" s="1774"/>
      <c r="BQ5" s="1774"/>
      <c r="BR5" s="1774"/>
      <c r="BS5" s="1774"/>
      <c r="BT5" s="1775"/>
      <c r="BU5" s="1775"/>
      <c r="BV5" s="1764"/>
      <c r="BW5" s="1769"/>
      <c r="BX5" s="1771"/>
      <c r="BY5" s="1771"/>
      <c r="BZ5" s="1771"/>
      <c r="CA5" s="1771"/>
      <c r="CB5" s="1759"/>
      <c r="CC5" s="1759"/>
      <c r="CD5" s="1759"/>
      <c r="CE5" s="1759"/>
      <c r="CF5" s="1771"/>
      <c r="CG5" s="1771"/>
      <c r="CH5" s="1759"/>
      <c r="CI5" s="1759"/>
      <c r="CJ5" s="1759"/>
      <c r="CK5" s="1759"/>
      <c r="CL5" s="1760"/>
      <c r="CM5" s="1760"/>
      <c r="CN5" s="1762"/>
    </row>
    <row r="6" spans="1:92" s="59" customFormat="1" ht="40.5" customHeight="1">
      <c r="A6" s="187"/>
      <c r="B6" s="225"/>
      <c r="C6" s="265"/>
      <c r="D6" s="701">
        <f>D7+D10+D14+D16+D30+D40</f>
        <v>5521700.7199999997</v>
      </c>
      <c r="E6" s="702">
        <f t="shared" ref="E6:T6" si="0">E7+E10+E14+E16+E30+E40</f>
        <v>5212766.9000000004</v>
      </c>
      <c r="F6" s="702">
        <f t="shared" si="0"/>
        <v>346308.2</v>
      </c>
      <c r="G6" s="702">
        <f t="shared" si="0"/>
        <v>340372.72</v>
      </c>
      <c r="H6" s="702">
        <f t="shared" si="0"/>
        <v>111507.94</v>
      </c>
      <c r="I6" s="702">
        <f t="shared" si="0"/>
        <v>263908.96000000002</v>
      </c>
      <c r="J6" s="702">
        <f t="shared" si="0"/>
        <v>225817.2</v>
      </c>
      <c r="K6" s="702">
        <f t="shared" si="0"/>
        <v>0</v>
      </c>
      <c r="L6" s="702">
        <f t="shared" si="0"/>
        <v>0</v>
      </c>
      <c r="M6" s="702">
        <f t="shared" si="0"/>
        <v>0</v>
      </c>
      <c r="N6" s="702">
        <f t="shared" si="0"/>
        <v>0</v>
      </c>
      <c r="O6" s="702">
        <f t="shared" si="0"/>
        <v>0</v>
      </c>
      <c r="P6" s="702">
        <f t="shared" si="0"/>
        <v>0</v>
      </c>
      <c r="Q6" s="702">
        <f t="shared" ref="Q6:R6" si="1">Q7+Q10+Q14+Q16+Q30+Q40</f>
        <v>4259.5</v>
      </c>
      <c r="R6" s="702">
        <f t="shared" si="1"/>
        <v>2234.5</v>
      </c>
      <c r="S6" s="702">
        <f t="shared" si="0"/>
        <v>0</v>
      </c>
      <c r="T6" s="702">
        <f t="shared" si="0"/>
        <v>10422</v>
      </c>
      <c r="U6" s="703">
        <f>U7+U10+U14+U16+U30+U40</f>
        <v>11975.7</v>
      </c>
      <c r="V6" s="704">
        <f>V7+V10+V14+V16+V30+V40</f>
        <v>6984079.4999999991</v>
      </c>
      <c r="W6" s="702">
        <f t="shared" ref="W6:AL6" si="2">W7+W10+W14+W16+W30+W40</f>
        <v>3941999.6</v>
      </c>
      <c r="X6" s="702">
        <f t="shared" si="2"/>
        <v>302772.2</v>
      </c>
      <c r="Y6" s="702">
        <f t="shared" si="2"/>
        <v>0</v>
      </c>
      <c r="Z6" s="702">
        <f t="shared" si="2"/>
        <v>639017.10000000009</v>
      </c>
      <c r="AA6" s="702">
        <f t="shared" si="2"/>
        <v>500680</v>
      </c>
      <c r="AB6" s="702">
        <f t="shared" si="2"/>
        <v>58771.4</v>
      </c>
      <c r="AC6" s="702">
        <f t="shared" si="2"/>
        <v>163379.70000000001</v>
      </c>
      <c r="AD6" s="702">
        <f t="shared" si="2"/>
        <v>413781.5</v>
      </c>
      <c r="AE6" s="702">
        <f t="shared" si="2"/>
        <v>271863.59999999998</v>
      </c>
      <c r="AF6" s="702">
        <f t="shared" si="2"/>
        <v>61126</v>
      </c>
      <c r="AG6" s="702">
        <f t="shared" si="2"/>
        <v>0</v>
      </c>
      <c r="AH6" s="702">
        <f t="shared" si="2"/>
        <v>304809.09999999998</v>
      </c>
      <c r="AI6" s="702">
        <f t="shared" si="2"/>
        <v>0</v>
      </c>
      <c r="AJ6" s="702">
        <f t="shared" si="2"/>
        <v>0</v>
      </c>
      <c r="AK6" s="702">
        <f t="shared" si="2"/>
        <v>43710.9</v>
      </c>
      <c r="AL6" s="705">
        <f t="shared" si="2"/>
        <v>15000</v>
      </c>
      <c r="AM6" s="704">
        <f>AM7+AM10+AM14+AM16+AM30+AM40+AM43</f>
        <v>12578556.091268547</v>
      </c>
      <c r="AN6" s="702">
        <f t="shared" ref="AN6" si="3">AN7+AN10+AN14+AN16+AN30+AN40</f>
        <v>5062421.112306945</v>
      </c>
      <c r="AO6" s="702">
        <f t="shared" ref="AO6" si="4">AO7+AO10+AO14+AO16+AO30+AO40</f>
        <v>936727.2</v>
      </c>
      <c r="AP6" s="702">
        <f t="shared" ref="AP6" si="5">AP7+AP10+AP14+AP16+AP30+AP40</f>
        <v>0</v>
      </c>
      <c r="AQ6" s="702">
        <f t="shared" ref="AQ6" si="6">AQ7+AQ10+AQ14+AQ16+AQ30+AQ40</f>
        <v>778223.44</v>
      </c>
      <c r="AR6" s="702">
        <f t="shared" ref="AR6" si="7">AR7+AR10+AR14+AR16+AR30+AR40</f>
        <v>516632.78</v>
      </c>
      <c r="AS6" s="702">
        <f t="shared" ref="AS6" si="8">AS7+AS10+AS14+AS16+AS30+AS40</f>
        <v>68428.600000000006</v>
      </c>
      <c r="AT6" s="702">
        <f t="shared" ref="AT6" si="9">AT7+AT10+AT14+AT16+AT30+AT40</f>
        <v>250680.7</v>
      </c>
      <c r="AU6" s="702">
        <f t="shared" ref="AU6" si="10">AU7+AU10+AU14+AU16+AU30+AU40</f>
        <v>2381608.7000000002</v>
      </c>
      <c r="AV6" s="702">
        <f t="shared" ref="AV6:BD6" si="11">AV7+AV10+AV14+AV16+AV30+AV40</f>
        <v>16800</v>
      </c>
      <c r="AW6" s="702">
        <f t="shared" si="11"/>
        <v>0</v>
      </c>
      <c r="AX6" s="702">
        <f t="shared" si="11"/>
        <v>62637.2</v>
      </c>
      <c r="AY6" s="702">
        <f t="shared" si="11"/>
        <v>87570.3</v>
      </c>
      <c r="AZ6" s="702">
        <f t="shared" si="11"/>
        <v>11042.399999999996</v>
      </c>
      <c r="BA6" s="702">
        <f t="shared" si="11"/>
        <v>420854.82000000007</v>
      </c>
      <c r="BB6" s="702">
        <f t="shared" si="11"/>
        <v>48800</v>
      </c>
      <c r="BC6" s="702">
        <f t="shared" si="11"/>
        <v>28000</v>
      </c>
      <c r="BD6" s="702">
        <f t="shared" si="11"/>
        <v>15000</v>
      </c>
      <c r="BE6" s="704">
        <f>BE7+BE10+BE14+BE16+BE30+BE40+BE43</f>
        <v>10069117.418019241</v>
      </c>
      <c r="BF6" s="702">
        <f t="shared" ref="BF6:BN6" si="12">BF7+BF10+BF14+BF16+BF30+BF40</f>
        <v>5097058.7522630803</v>
      </c>
      <c r="BG6" s="702">
        <f t="shared" si="12"/>
        <v>367965.60000000003</v>
      </c>
      <c r="BH6" s="702">
        <f t="shared" si="12"/>
        <v>0</v>
      </c>
      <c r="BI6" s="702">
        <f t="shared" si="12"/>
        <v>224394.5</v>
      </c>
      <c r="BJ6" s="702">
        <f t="shared" si="12"/>
        <v>7000</v>
      </c>
      <c r="BK6" s="702">
        <f t="shared" si="12"/>
        <v>0</v>
      </c>
      <c r="BL6" s="702">
        <f t="shared" si="12"/>
        <v>250826.4</v>
      </c>
      <c r="BM6" s="702">
        <f t="shared" si="12"/>
        <v>2405032.7999999998</v>
      </c>
      <c r="BN6" s="702">
        <f t="shared" si="12"/>
        <v>0</v>
      </c>
      <c r="BO6" s="702"/>
      <c r="BP6" s="702">
        <f t="shared" ref="BP6:BV6" si="13">BP7+BP10+BP14+BP16+BP30+BP40</f>
        <v>0</v>
      </c>
      <c r="BQ6" s="702">
        <f t="shared" si="13"/>
        <v>0</v>
      </c>
      <c r="BR6" s="702">
        <f t="shared" si="13"/>
        <v>0</v>
      </c>
      <c r="BS6" s="702">
        <f t="shared" si="13"/>
        <v>0</v>
      </c>
      <c r="BT6" s="702">
        <f t="shared" si="13"/>
        <v>48800</v>
      </c>
      <c r="BU6" s="702">
        <f t="shared" si="13"/>
        <v>28000</v>
      </c>
      <c r="BV6" s="705">
        <f t="shared" si="13"/>
        <v>15000</v>
      </c>
      <c r="BW6" s="704">
        <f>BW7+BW10+BW14+BW16+BW30+BW40+BW43</f>
        <v>9870212.0742303021</v>
      </c>
      <c r="BX6" s="702">
        <f t="shared" ref="BX6:CF6" si="14">BX7+BX10+BX14+BX16+BX30+BX40</f>
        <v>5109557.8520686999</v>
      </c>
      <c r="BY6" s="702">
        <f t="shared" si="14"/>
        <v>310385.8</v>
      </c>
      <c r="BZ6" s="702">
        <f t="shared" si="14"/>
        <v>0</v>
      </c>
      <c r="CA6" s="702">
        <f t="shared" si="14"/>
        <v>224394.5</v>
      </c>
      <c r="CB6" s="702">
        <f t="shared" si="14"/>
        <v>7000</v>
      </c>
      <c r="CC6" s="702">
        <f t="shared" si="14"/>
        <v>0</v>
      </c>
      <c r="CD6" s="702">
        <f t="shared" si="14"/>
        <v>251386.9</v>
      </c>
      <c r="CE6" s="702">
        <f t="shared" si="14"/>
        <v>2248867.9</v>
      </c>
      <c r="CF6" s="702">
        <f t="shared" si="14"/>
        <v>0</v>
      </c>
      <c r="CG6" s="702"/>
      <c r="CH6" s="702">
        <f t="shared" ref="CH6:CN6" si="15">CH7+CH10+CH14+CH16+CH30+CH40</f>
        <v>0</v>
      </c>
      <c r="CI6" s="702">
        <f t="shared" si="15"/>
        <v>0</v>
      </c>
      <c r="CJ6" s="702">
        <f t="shared" si="15"/>
        <v>0</v>
      </c>
      <c r="CK6" s="702">
        <f t="shared" si="15"/>
        <v>0</v>
      </c>
      <c r="CL6" s="702">
        <f t="shared" si="15"/>
        <v>48800</v>
      </c>
      <c r="CM6" s="702">
        <f t="shared" si="15"/>
        <v>28000</v>
      </c>
      <c r="CN6" s="705">
        <f t="shared" si="15"/>
        <v>15000</v>
      </c>
    </row>
    <row r="7" spans="1:92" s="6" customFormat="1" ht="24" customHeight="1">
      <c r="A7" s="188">
        <v>1016</v>
      </c>
      <c r="B7" s="223"/>
      <c r="C7" s="185" t="s">
        <v>230</v>
      </c>
      <c r="D7" s="706">
        <f>D8+D9</f>
        <v>355323.9</v>
      </c>
      <c r="E7" s="707">
        <f>E8+E9+E10</f>
        <v>1533490</v>
      </c>
      <c r="F7" s="707">
        <f>F8+F9+F10</f>
        <v>0</v>
      </c>
      <c r="G7" s="707">
        <f t="shared" ref="G7:U7" si="16">G8+G9+G10</f>
        <v>0</v>
      </c>
      <c r="H7" s="707">
        <f t="shared" si="16"/>
        <v>0</v>
      </c>
      <c r="I7" s="707">
        <f t="shared" si="16"/>
        <v>0</v>
      </c>
      <c r="J7" s="707">
        <f t="shared" si="16"/>
        <v>0</v>
      </c>
      <c r="K7" s="707">
        <f t="shared" si="16"/>
        <v>0</v>
      </c>
      <c r="L7" s="707">
        <f t="shared" si="16"/>
        <v>0</v>
      </c>
      <c r="M7" s="707">
        <f t="shared" si="16"/>
        <v>0</v>
      </c>
      <c r="N7" s="707">
        <f t="shared" si="16"/>
        <v>0</v>
      </c>
      <c r="O7" s="707">
        <f t="shared" si="16"/>
        <v>0</v>
      </c>
      <c r="P7" s="707">
        <f t="shared" si="16"/>
        <v>0</v>
      </c>
      <c r="Q7" s="707">
        <f t="shared" ref="Q7:R7" si="17">Q8+Q9+Q10</f>
        <v>0</v>
      </c>
      <c r="R7" s="707">
        <f t="shared" si="17"/>
        <v>0</v>
      </c>
      <c r="S7" s="707">
        <f t="shared" si="16"/>
        <v>0</v>
      </c>
      <c r="T7" s="707">
        <f t="shared" si="16"/>
        <v>0</v>
      </c>
      <c r="U7" s="708">
        <f t="shared" si="16"/>
        <v>0</v>
      </c>
      <c r="V7" s="709">
        <f>V8+V9</f>
        <v>319103.59999999998</v>
      </c>
      <c r="W7" s="707">
        <f>W8+W9+W10+V11+V12</f>
        <v>1471221.9000000001</v>
      </c>
      <c r="X7" s="707">
        <f t="shared" ref="X7:AL7" si="18">X8+X9+X10+X11+X12</f>
        <v>0</v>
      </c>
      <c r="Y7" s="707">
        <f t="shared" si="18"/>
        <v>0</v>
      </c>
      <c r="Z7" s="707">
        <f t="shared" si="18"/>
        <v>0</v>
      </c>
      <c r="AA7" s="707">
        <f t="shared" si="18"/>
        <v>0</v>
      </c>
      <c r="AB7" s="707">
        <f t="shared" si="18"/>
        <v>0</v>
      </c>
      <c r="AC7" s="707">
        <f t="shared" si="18"/>
        <v>0</v>
      </c>
      <c r="AD7" s="707">
        <f t="shared" si="18"/>
        <v>0</v>
      </c>
      <c r="AE7" s="707">
        <f t="shared" si="18"/>
        <v>0</v>
      </c>
      <c r="AF7" s="707">
        <f t="shared" si="18"/>
        <v>0</v>
      </c>
      <c r="AG7" s="707">
        <f t="shared" si="18"/>
        <v>0</v>
      </c>
      <c r="AH7" s="707">
        <f t="shared" ref="AH7:AI7" si="19">AH8+AH9+AH10</f>
        <v>0</v>
      </c>
      <c r="AI7" s="707">
        <f t="shared" si="19"/>
        <v>0</v>
      </c>
      <c r="AJ7" s="707">
        <f t="shared" si="18"/>
        <v>0</v>
      </c>
      <c r="AK7" s="707">
        <f t="shared" si="18"/>
        <v>0</v>
      </c>
      <c r="AL7" s="710">
        <f t="shared" si="18"/>
        <v>0</v>
      </c>
      <c r="AM7" s="709">
        <f>AM8+AM9</f>
        <v>652343</v>
      </c>
      <c r="AN7" s="707">
        <f>AN8+AN9+AN10+AM11+AM12</f>
        <v>1831798.4123069451</v>
      </c>
      <c r="AO7" s="707">
        <f t="shared" ref="AO7:AY7" si="20">AO8+AO9+AO10+AO11+AO12</f>
        <v>0</v>
      </c>
      <c r="AP7" s="707">
        <f t="shared" si="20"/>
        <v>0</v>
      </c>
      <c r="AQ7" s="707">
        <f t="shared" si="20"/>
        <v>0</v>
      </c>
      <c r="AR7" s="707">
        <f t="shared" si="20"/>
        <v>0</v>
      </c>
      <c r="AS7" s="707">
        <f t="shared" si="20"/>
        <v>0</v>
      </c>
      <c r="AT7" s="707">
        <f t="shared" si="20"/>
        <v>0</v>
      </c>
      <c r="AU7" s="707">
        <f t="shared" si="20"/>
        <v>0</v>
      </c>
      <c r="AV7" s="707">
        <f t="shared" si="20"/>
        <v>0</v>
      </c>
      <c r="AW7" s="707"/>
      <c r="AX7" s="707">
        <f t="shared" si="20"/>
        <v>0</v>
      </c>
      <c r="AY7" s="707">
        <f t="shared" si="20"/>
        <v>0</v>
      </c>
      <c r="AZ7" s="707">
        <f t="shared" ref="AZ7:BA7" si="21">AZ8+AZ9+AZ10</f>
        <v>0</v>
      </c>
      <c r="BA7" s="707">
        <f t="shared" si="21"/>
        <v>0</v>
      </c>
      <c r="BB7" s="707">
        <f t="shared" ref="BB7:BD7" si="22">BB8+BB9+BB10+BB11+BB12</f>
        <v>0</v>
      </c>
      <c r="BC7" s="707">
        <f t="shared" si="22"/>
        <v>0</v>
      </c>
      <c r="BD7" s="710">
        <f t="shared" si="22"/>
        <v>0</v>
      </c>
      <c r="BE7" s="709">
        <f>BE8+BE9</f>
        <v>677077</v>
      </c>
      <c r="BF7" s="707">
        <f>BF8+BF9+BF10+BE11+BE12</f>
        <v>1866436.0522630804</v>
      </c>
      <c r="BG7" s="707">
        <f t="shared" ref="BG7:BN7" si="23">BG8+BG9+BG10+BG11+BG12</f>
        <v>0</v>
      </c>
      <c r="BH7" s="707">
        <f t="shared" si="23"/>
        <v>0</v>
      </c>
      <c r="BI7" s="707">
        <f t="shared" si="23"/>
        <v>0</v>
      </c>
      <c r="BJ7" s="707">
        <f t="shared" si="23"/>
        <v>0</v>
      </c>
      <c r="BK7" s="707">
        <f t="shared" si="23"/>
        <v>0</v>
      </c>
      <c r="BL7" s="707">
        <f t="shared" si="23"/>
        <v>0</v>
      </c>
      <c r="BM7" s="707">
        <f t="shared" si="23"/>
        <v>0</v>
      </c>
      <c r="BN7" s="707">
        <f t="shared" si="23"/>
        <v>0</v>
      </c>
      <c r="BO7" s="707"/>
      <c r="BP7" s="707">
        <f t="shared" ref="BP7:BQ7" si="24">BP8+BP9+BP10+BP11+BP12</f>
        <v>0</v>
      </c>
      <c r="BQ7" s="707">
        <f t="shared" si="24"/>
        <v>0</v>
      </c>
      <c r="BR7" s="707">
        <f t="shared" ref="BR7:BS7" si="25">BR8+BR9+BR10</f>
        <v>0</v>
      </c>
      <c r="BS7" s="707">
        <f t="shared" si="25"/>
        <v>0</v>
      </c>
      <c r="BT7" s="707">
        <f t="shared" ref="BT7:BV7" si="26">BT8+BT9+BT10+BT11+BT12</f>
        <v>0</v>
      </c>
      <c r="BU7" s="707">
        <f t="shared" si="26"/>
        <v>0</v>
      </c>
      <c r="BV7" s="710">
        <f t="shared" si="26"/>
        <v>0</v>
      </c>
      <c r="BW7" s="709">
        <f>BW8+BW9</f>
        <v>680978.8</v>
      </c>
      <c r="BX7" s="707">
        <f>BX8+BX9+BX10+BW11+BW12</f>
        <v>1878935.1520687006</v>
      </c>
      <c r="BY7" s="707">
        <f t="shared" ref="BY7:CF7" si="27">BY8+BY9+BY10+BY11+BY12</f>
        <v>0</v>
      </c>
      <c r="BZ7" s="707">
        <f t="shared" si="27"/>
        <v>0</v>
      </c>
      <c r="CA7" s="707">
        <f t="shared" si="27"/>
        <v>0</v>
      </c>
      <c r="CB7" s="707">
        <f t="shared" si="27"/>
        <v>0</v>
      </c>
      <c r="CC7" s="707">
        <f t="shared" si="27"/>
        <v>0</v>
      </c>
      <c r="CD7" s="707">
        <f t="shared" si="27"/>
        <v>0</v>
      </c>
      <c r="CE7" s="707">
        <f t="shared" si="27"/>
        <v>0</v>
      </c>
      <c r="CF7" s="707">
        <f t="shared" si="27"/>
        <v>0</v>
      </c>
      <c r="CG7" s="707"/>
      <c r="CH7" s="707">
        <f t="shared" ref="CH7:CI7" si="28">CH8+CH9+CH10+CH11+CH12</f>
        <v>0</v>
      </c>
      <c r="CI7" s="707">
        <f t="shared" si="28"/>
        <v>0</v>
      </c>
      <c r="CJ7" s="707">
        <f t="shared" ref="CJ7:CK7" si="29">CJ8+CJ9+CJ10</f>
        <v>0</v>
      </c>
      <c r="CK7" s="707">
        <f t="shared" si="29"/>
        <v>0</v>
      </c>
      <c r="CL7" s="707">
        <f t="shared" ref="CL7:CN7" si="30">CL8+CL9+CL10+CL11+CL12</f>
        <v>0</v>
      </c>
      <c r="CM7" s="707">
        <f t="shared" si="30"/>
        <v>0</v>
      </c>
      <c r="CN7" s="710">
        <f t="shared" si="30"/>
        <v>0</v>
      </c>
    </row>
    <row r="8" spans="1:92" s="6" customFormat="1" ht="13.5">
      <c r="A8" s="1725"/>
      <c r="B8" s="226">
        <v>11001</v>
      </c>
      <c r="C8" s="177" t="s">
        <v>30</v>
      </c>
      <c r="D8" s="711">
        <f>SUM(E8:U8)</f>
        <v>38077.199999999997</v>
      </c>
      <c r="E8" s="712">
        <v>38077.199999999997</v>
      </c>
      <c r="F8" s="712"/>
      <c r="G8" s="713"/>
      <c r="H8" s="713"/>
      <c r="I8" s="713"/>
      <c r="J8" s="713"/>
      <c r="K8" s="713"/>
      <c r="L8" s="713"/>
      <c r="M8" s="713"/>
      <c r="N8" s="713"/>
      <c r="O8" s="713"/>
      <c r="P8" s="713"/>
      <c r="Q8" s="713"/>
      <c r="R8" s="713"/>
      <c r="S8" s="713"/>
      <c r="T8" s="713"/>
      <c r="U8" s="714"/>
      <c r="V8" s="715">
        <f>SUM(W8:AL8)</f>
        <v>45461.8</v>
      </c>
      <c r="W8" s="713">
        <f>AMPOP!G12</f>
        <v>45461.8</v>
      </c>
      <c r="X8" s="713"/>
      <c r="Y8" s="713"/>
      <c r="Z8" s="713"/>
      <c r="AA8" s="713"/>
      <c r="AB8" s="713"/>
      <c r="AC8" s="713"/>
      <c r="AD8" s="713"/>
      <c r="AE8" s="713"/>
      <c r="AF8" s="713"/>
      <c r="AG8" s="713"/>
      <c r="AH8" s="713"/>
      <c r="AI8" s="713"/>
      <c r="AJ8" s="713"/>
      <c r="AK8" s="713"/>
      <c r="AL8" s="716"/>
      <c r="AM8" s="718">
        <f>SUM(AN8:BD8)</f>
        <v>45461.8</v>
      </c>
      <c r="AN8" s="717">
        <f>AMPOP!H12</f>
        <v>45461.8</v>
      </c>
      <c r="AO8" s="713"/>
      <c r="AP8" s="713"/>
      <c r="AQ8" s="713"/>
      <c r="AR8" s="713"/>
      <c r="AS8" s="713"/>
      <c r="AT8" s="713"/>
      <c r="AU8" s="713"/>
      <c r="AV8" s="713"/>
      <c r="AW8" s="713"/>
      <c r="AX8" s="713"/>
      <c r="AY8" s="713"/>
      <c r="AZ8" s="713"/>
      <c r="BA8" s="713"/>
      <c r="BB8" s="713"/>
      <c r="BC8" s="713"/>
      <c r="BD8" s="716"/>
      <c r="BE8" s="715">
        <f>SUM(BF8:BV8)</f>
        <v>45461.8</v>
      </c>
      <c r="BF8" s="713">
        <f>AMPOP!I12</f>
        <v>45461.8</v>
      </c>
      <c r="BG8" s="713"/>
      <c r="BH8" s="713"/>
      <c r="BI8" s="713"/>
      <c r="BJ8" s="713"/>
      <c r="BK8" s="713"/>
      <c r="BL8" s="713"/>
      <c r="BM8" s="713"/>
      <c r="BN8" s="713"/>
      <c r="BO8" s="713"/>
      <c r="BP8" s="713"/>
      <c r="BQ8" s="713"/>
      <c r="BR8" s="713"/>
      <c r="BS8" s="713"/>
      <c r="BT8" s="713"/>
      <c r="BU8" s="713"/>
      <c r="BV8" s="716"/>
      <c r="BW8" s="715">
        <f>SUM(BX8:CN8)</f>
        <v>45461.8</v>
      </c>
      <c r="BX8" s="713">
        <f>AMPOP!J12</f>
        <v>45461.8</v>
      </c>
      <c r="BY8" s="713"/>
      <c r="BZ8" s="713"/>
      <c r="CA8" s="713"/>
      <c r="CB8" s="713"/>
      <c r="CC8" s="713"/>
      <c r="CD8" s="713"/>
      <c r="CE8" s="713"/>
      <c r="CF8" s="713"/>
      <c r="CG8" s="713"/>
      <c r="CH8" s="713"/>
      <c r="CI8" s="713"/>
      <c r="CJ8" s="713"/>
      <c r="CK8" s="713"/>
      <c r="CL8" s="713"/>
      <c r="CM8" s="713"/>
      <c r="CN8" s="716"/>
    </row>
    <row r="9" spans="1:92" s="6" customFormat="1" ht="13.5">
      <c r="A9" s="1726"/>
      <c r="B9" s="226">
        <v>11002</v>
      </c>
      <c r="C9" s="178" t="s">
        <v>231</v>
      </c>
      <c r="D9" s="711">
        <f>SUM(E9:U9)</f>
        <v>317246.7</v>
      </c>
      <c r="E9" s="712">
        <v>317246.7</v>
      </c>
      <c r="F9" s="712"/>
      <c r="G9" s="713"/>
      <c r="H9" s="713"/>
      <c r="I9" s="713"/>
      <c r="J9" s="713"/>
      <c r="K9" s="713"/>
      <c r="L9" s="713"/>
      <c r="M9" s="713"/>
      <c r="N9" s="713"/>
      <c r="O9" s="713"/>
      <c r="P9" s="713"/>
      <c r="Q9" s="713"/>
      <c r="R9" s="713"/>
      <c r="S9" s="713"/>
      <c r="T9" s="713"/>
      <c r="U9" s="714"/>
      <c r="V9" s="715">
        <f>SUM(W9:AL9)</f>
        <v>273641.8</v>
      </c>
      <c r="W9" s="713">
        <f>AMPOP!G13</f>
        <v>273641.8</v>
      </c>
      <c r="X9" s="713"/>
      <c r="Y9" s="713"/>
      <c r="Z9" s="713"/>
      <c r="AA9" s="713"/>
      <c r="AB9" s="713"/>
      <c r="AC9" s="713"/>
      <c r="AD9" s="713"/>
      <c r="AE9" s="713"/>
      <c r="AF9" s="713"/>
      <c r="AG9" s="713"/>
      <c r="AH9" s="713"/>
      <c r="AI9" s="713"/>
      <c r="AJ9" s="713"/>
      <c r="AK9" s="713"/>
      <c r="AL9" s="716"/>
      <c r="AM9" s="718">
        <f>SUM(AN9:BD9)</f>
        <v>606881.19999999995</v>
      </c>
      <c r="AN9" s="717">
        <f>AMPOP!H13</f>
        <v>606881.19999999995</v>
      </c>
      <c r="AO9" s="713"/>
      <c r="AP9" s="713"/>
      <c r="AQ9" s="713"/>
      <c r="AR9" s="713"/>
      <c r="AS9" s="713"/>
      <c r="AT9" s="713"/>
      <c r="AU9" s="713"/>
      <c r="AV9" s="713"/>
      <c r="AW9" s="713"/>
      <c r="AX9" s="713"/>
      <c r="AY9" s="713"/>
      <c r="AZ9" s="713"/>
      <c r="BA9" s="713"/>
      <c r="BB9" s="713"/>
      <c r="BC9" s="713"/>
      <c r="BD9" s="716"/>
      <c r="BE9" s="715">
        <f>SUM(BF9:BV9)</f>
        <v>631615.19999999995</v>
      </c>
      <c r="BF9" s="713">
        <f>AMPOP!I13</f>
        <v>631615.19999999995</v>
      </c>
      <c r="BG9" s="713"/>
      <c r="BH9" s="713"/>
      <c r="BI9" s="713"/>
      <c r="BJ9" s="713"/>
      <c r="BK9" s="713"/>
      <c r="BL9" s="713"/>
      <c r="BM9" s="713"/>
      <c r="BN9" s="713"/>
      <c r="BO9" s="713"/>
      <c r="BP9" s="713"/>
      <c r="BQ9" s="713"/>
      <c r="BR9" s="713"/>
      <c r="BS9" s="713"/>
      <c r="BT9" s="713"/>
      <c r="BU9" s="713"/>
      <c r="BV9" s="716"/>
      <c r="BW9" s="715">
        <f>SUM(BX9:CN9)</f>
        <v>635517</v>
      </c>
      <c r="BX9" s="713">
        <f>AMPOP!J13</f>
        <v>635517</v>
      </c>
      <c r="BY9" s="713"/>
      <c r="BZ9" s="713"/>
      <c r="CA9" s="713"/>
      <c r="CB9" s="713"/>
      <c r="CC9" s="713"/>
      <c r="CD9" s="713"/>
      <c r="CE9" s="713"/>
      <c r="CF9" s="713"/>
      <c r="CG9" s="713"/>
      <c r="CH9" s="713"/>
      <c r="CI9" s="713"/>
      <c r="CJ9" s="713"/>
      <c r="CK9" s="713"/>
      <c r="CL9" s="713"/>
      <c r="CM9" s="713"/>
      <c r="CN9" s="716"/>
    </row>
    <row r="10" spans="1:92" s="6" customFormat="1" ht="31.5" customHeight="1">
      <c r="A10" s="189" t="s">
        <v>232</v>
      </c>
      <c r="B10" s="267"/>
      <c r="C10" s="186" t="s">
        <v>259</v>
      </c>
      <c r="D10" s="706">
        <f>D11+D12+D13</f>
        <v>1178166.1000000001</v>
      </c>
      <c r="E10" s="707">
        <f t="shared" ref="E10:U10" si="31">E11+E12+E13</f>
        <v>1178166.1000000001</v>
      </c>
      <c r="F10" s="707">
        <f t="shared" si="31"/>
        <v>0</v>
      </c>
      <c r="G10" s="707">
        <f t="shared" si="31"/>
        <v>0</v>
      </c>
      <c r="H10" s="707">
        <f t="shared" si="31"/>
        <v>0</v>
      </c>
      <c r="I10" s="707">
        <f t="shared" si="31"/>
        <v>0</v>
      </c>
      <c r="J10" s="707">
        <f t="shared" si="31"/>
        <v>0</v>
      </c>
      <c r="K10" s="707">
        <f t="shared" si="31"/>
        <v>0</v>
      </c>
      <c r="L10" s="707">
        <f t="shared" si="31"/>
        <v>0</v>
      </c>
      <c r="M10" s="707">
        <f t="shared" si="31"/>
        <v>0</v>
      </c>
      <c r="N10" s="707">
        <f t="shared" si="31"/>
        <v>0</v>
      </c>
      <c r="O10" s="707">
        <f t="shared" si="31"/>
        <v>0</v>
      </c>
      <c r="P10" s="707">
        <f t="shared" si="31"/>
        <v>0</v>
      </c>
      <c r="Q10" s="707">
        <f t="shared" ref="Q10:R10" si="32">Q11+Q12+Q13</f>
        <v>0</v>
      </c>
      <c r="R10" s="707">
        <f t="shared" si="32"/>
        <v>0</v>
      </c>
      <c r="S10" s="707">
        <f t="shared" si="31"/>
        <v>0</v>
      </c>
      <c r="T10" s="707">
        <f t="shared" si="31"/>
        <v>0</v>
      </c>
      <c r="U10" s="708">
        <f t="shared" si="31"/>
        <v>0</v>
      </c>
      <c r="V10" s="709">
        <f>V11+V12+V13</f>
        <v>1168054.5</v>
      </c>
      <c r="W10" s="707"/>
      <c r="X10" s="707"/>
      <c r="Y10" s="707"/>
      <c r="Z10" s="707"/>
      <c r="AA10" s="707"/>
      <c r="AB10" s="707"/>
      <c r="AC10" s="707"/>
      <c r="AD10" s="707"/>
      <c r="AE10" s="707"/>
      <c r="AF10" s="707"/>
      <c r="AG10" s="707"/>
      <c r="AH10" s="707">
        <f t="shared" ref="AH10:AI10" si="33">AH11+AH12+AH13</f>
        <v>0</v>
      </c>
      <c r="AI10" s="707">
        <f t="shared" si="33"/>
        <v>0</v>
      </c>
      <c r="AJ10" s="707"/>
      <c r="AK10" s="707"/>
      <c r="AL10" s="710"/>
      <c r="AM10" s="709">
        <f>AM11+AM12+AM13</f>
        <v>1195394.0115069451</v>
      </c>
      <c r="AN10" s="707"/>
      <c r="AO10" s="707"/>
      <c r="AP10" s="707"/>
      <c r="AQ10" s="707"/>
      <c r="AR10" s="707"/>
      <c r="AS10" s="707"/>
      <c r="AT10" s="707"/>
      <c r="AU10" s="707"/>
      <c r="AV10" s="707"/>
      <c r="AW10" s="707"/>
      <c r="AX10" s="707"/>
      <c r="AY10" s="707"/>
      <c r="AZ10" s="707">
        <f t="shared" ref="AZ10:BA10" si="34">AZ11+AZ12+AZ13</f>
        <v>0</v>
      </c>
      <c r="BA10" s="707">
        <f t="shared" si="34"/>
        <v>0</v>
      </c>
      <c r="BB10" s="707"/>
      <c r="BC10" s="707"/>
      <c r="BD10" s="710"/>
      <c r="BE10" s="709">
        <f>BE11+BE12+BE13</f>
        <v>1205297.6514630804</v>
      </c>
      <c r="BF10" s="707"/>
      <c r="BG10" s="707"/>
      <c r="BH10" s="707"/>
      <c r="BI10" s="707"/>
      <c r="BJ10" s="707"/>
      <c r="BK10" s="707"/>
      <c r="BL10" s="707"/>
      <c r="BM10" s="707"/>
      <c r="BN10" s="707"/>
      <c r="BO10" s="707"/>
      <c r="BP10" s="707"/>
      <c r="BQ10" s="707"/>
      <c r="BR10" s="707">
        <f t="shared" ref="BR10:BS10" si="35">BR11+BR12+BR13</f>
        <v>0</v>
      </c>
      <c r="BS10" s="707">
        <f t="shared" si="35"/>
        <v>0</v>
      </c>
      <c r="BT10" s="707"/>
      <c r="BU10" s="707"/>
      <c r="BV10" s="710"/>
      <c r="BW10" s="709">
        <f>BW11+BW12+BW13</f>
        <v>1213894.9512687006</v>
      </c>
      <c r="BX10" s="707"/>
      <c r="BY10" s="707"/>
      <c r="BZ10" s="707"/>
      <c r="CA10" s="707"/>
      <c r="CB10" s="707"/>
      <c r="CC10" s="707"/>
      <c r="CD10" s="707"/>
      <c r="CE10" s="707"/>
      <c r="CF10" s="707"/>
      <c r="CG10" s="707"/>
      <c r="CH10" s="707"/>
      <c r="CI10" s="707"/>
      <c r="CJ10" s="707">
        <f t="shared" ref="CJ10:CK10" si="36">CJ11+CJ12+CJ13</f>
        <v>0</v>
      </c>
      <c r="CK10" s="707">
        <f t="shared" si="36"/>
        <v>0</v>
      </c>
      <c r="CL10" s="707"/>
      <c r="CM10" s="707"/>
      <c r="CN10" s="710"/>
    </row>
    <row r="11" spans="1:92" s="6" customFormat="1" ht="27">
      <c r="A11" s="1725"/>
      <c r="B11" s="227">
        <v>11001</v>
      </c>
      <c r="C11" s="177" t="s">
        <v>260</v>
      </c>
      <c r="D11" s="711">
        <v>1066981.5</v>
      </c>
      <c r="E11" s="717">
        <v>1066981.5</v>
      </c>
      <c r="F11" s="717"/>
      <c r="G11" s="713"/>
      <c r="H11" s="713"/>
      <c r="I11" s="713"/>
      <c r="J11" s="713"/>
      <c r="K11" s="713"/>
      <c r="L11" s="713"/>
      <c r="M11" s="713"/>
      <c r="N11" s="713"/>
      <c r="O11" s="713"/>
      <c r="P11" s="713"/>
      <c r="Q11" s="713"/>
      <c r="R11" s="713"/>
      <c r="S11" s="713"/>
      <c r="T11" s="713"/>
      <c r="U11" s="714"/>
      <c r="V11" s="718">
        <f>AMPOP!G15</f>
        <v>1053075.6000000001</v>
      </c>
      <c r="W11" s="719"/>
      <c r="X11" s="713"/>
      <c r="Y11" s="713"/>
      <c r="Z11" s="713"/>
      <c r="AA11" s="713"/>
      <c r="AB11" s="713"/>
      <c r="AC11" s="713"/>
      <c r="AD11" s="713"/>
      <c r="AE11" s="713"/>
      <c r="AF11" s="713"/>
      <c r="AG11" s="713"/>
      <c r="AH11" s="713"/>
      <c r="AI11" s="713"/>
      <c r="AJ11" s="713"/>
      <c r="AK11" s="713"/>
      <c r="AL11" s="716"/>
      <c r="AM11" s="718">
        <f>AMPOP!H15</f>
        <v>1080412.7118768911</v>
      </c>
      <c r="AN11" s="720"/>
      <c r="AO11" s="713"/>
      <c r="AP11" s="713"/>
      <c r="AQ11" s="713"/>
      <c r="AR11" s="713"/>
      <c r="AS11" s="713"/>
      <c r="AT11" s="713"/>
      <c r="AU11" s="713"/>
      <c r="AV11" s="713"/>
      <c r="AW11" s="713"/>
      <c r="AX11" s="713"/>
      <c r="AY11" s="713"/>
      <c r="AZ11" s="713"/>
      <c r="BA11" s="713"/>
      <c r="BB11" s="713"/>
      <c r="BC11" s="713"/>
      <c r="BD11" s="716"/>
      <c r="BE11" s="718">
        <f>AMPOP!I15</f>
        <v>1090316.3318330264</v>
      </c>
      <c r="BF11" s="719"/>
      <c r="BG11" s="713"/>
      <c r="BH11" s="713"/>
      <c r="BI11" s="713"/>
      <c r="BJ11" s="713"/>
      <c r="BK11" s="713"/>
      <c r="BL11" s="713"/>
      <c r="BM11" s="713"/>
      <c r="BN11" s="713"/>
      <c r="BO11" s="713"/>
      <c r="BP11" s="713"/>
      <c r="BQ11" s="713"/>
      <c r="BR11" s="713"/>
      <c r="BS11" s="713"/>
      <c r="BT11" s="713"/>
      <c r="BU11" s="713"/>
      <c r="BV11" s="716"/>
      <c r="BW11" s="718">
        <f>AMPOP!J15</f>
        <v>1098913.6316386466</v>
      </c>
      <c r="BX11" s="719"/>
      <c r="BY11" s="713"/>
      <c r="BZ11" s="713"/>
      <c r="CA11" s="713"/>
      <c r="CB11" s="713"/>
      <c r="CC11" s="713"/>
      <c r="CD11" s="713"/>
      <c r="CE11" s="713"/>
      <c r="CF11" s="713"/>
      <c r="CG11" s="713"/>
      <c r="CH11" s="713"/>
      <c r="CI11" s="713"/>
      <c r="CJ11" s="713"/>
      <c r="CK11" s="713"/>
      <c r="CL11" s="713"/>
      <c r="CM11" s="713"/>
      <c r="CN11" s="716"/>
    </row>
    <row r="12" spans="1:92" s="6" customFormat="1" ht="14.25">
      <c r="A12" s="1744"/>
      <c r="B12" s="227">
        <v>11002</v>
      </c>
      <c r="C12" s="179" t="s">
        <v>261</v>
      </c>
      <c r="D12" s="711">
        <v>97486.3</v>
      </c>
      <c r="E12" s="717">
        <v>97486.3</v>
      </c>
      <c r="F12" s="717"/>
      <c r="G12" s="713"/>
      <c r="H12" s="713"/>
      <c r="I12" s="713"/>
      <c r="J12" s="713"/>
      <c r="K12" s="713"/>
      <c r="L12" s="713"/>
      <c r="M12" s="713"/>
      <c r="N12" s="713"/>
      <c r="O12" s="713"/>
      <c r="P12" s="713"/>
      <c r="Q12" s="713"/>
      <c r="R12" s="713"/>
      <c r="S12" s="713"/>
      <c r="T12" s="713"/>
      <c r="U12" s="714"/>
      <c r="V12" s="718">
        <f>AMPOP!G16</f>
        <v>99042.7</v>
      </c>
      <c r="W12" s="719"/>
      <c r="X12" s="713"/>
      <c r="Y12" s="713"/>
      <c r="Z12" s="713"/>
      <c r="AA12" s="713"/>
      <c r="AB12" s="713"/>
      <c r="AC12" s="713"/>
      <c r="AD12" s="713"/>
      <c r="AE12" s="713"/>
      <c r="AF12" s="713"/>
      <c r="AG12" s="713"/>
      <c r="AH12" s="713"/>
      <c r="AI12" s="713"/>
      <c r="AJ12" s="713"/>
      <c r="AK12" s="713"/>
      <c r="AL12" s="716"/>
      <c r="AM12" s="718">
        <f>AMPOP!H16</f>
        <v>99042.700430054028</v>
      </c>
      <c r="AN12" s="720"/>
      <c r="AO12" s="713"/>
      <c r="AP12" s="713"/>
      <c r="AQ12" s="713"/>
      <c r="AR12" s="713"/>
      <c r="AS12" s="713"/>
      <c r="AT12" s="713"/>
      <c r="AU12" s="713"/>
      <c r="AV12" s="713"/>
      <c r="AW12" s="713"/>
      <c r="AX12" s="713"/>
      <c r="AY12" s="713"/>
      <c r="AZ12" s="713"/>
      <c r="BA12" s="713"/>
      <c r="BB12" s="713"/>
      <c r="BC12" s="713"/>
      <c r="BD12" s="716"/>
      <c r="BE12" s="718">
        <f>AMPOP!I16</f>
        <v>99042.720430054018</v>
      </c>
      <c r="BF12" s="719"/>
      <c r="BG12" s="713"/>
      <c r="BH12" s="713"/>
      <c r="BI12" s="713"/>
      <c r="BJ12" s="713"/>
      <c r="BK12" s="713"/>
      <c r="BL12" s="713"/>
      <c r="BM12" s="713"/>
      <c r="BN12" s="713"/>
      <c r="BO12" s="713"/>
      <c r="BP12" s="713"/>
      <c r="BQ12" s="713"/>
      <c r="BR12" s="713"/>
      <c r="BS12" s="713"/>
      <c r="BT12" s="713"/>
      <c r="BU12" s="713"/>
      <c r="BV12" s="716"/>
      <c r="BW12" s="718">
        <f>AMPOP!J16</f>
        <v>99042.720430054018</v>
      </c>
      <c r="BX12" s="719"/>
      <c r="BY12" s="713"/>
      <c r="BZ12" s="713"/>
      <c r="CA12" s="713"/>
      <c r="CB12" s="713"/>
      <c r="CC12" s="713"/>
      <c r="CD12" s="713"/>
      <c r="CE12" s="713"/>
      <c r="CF12" s="713"/>
      <c r="CG12" s="713"/>
      <c r="CH12" s="713"/>
      <c r="CI12" s="713"/>
      <c r="CJ12" s="713"/>
      <c r="CK12" s="713"/>
      <c r="CL12" s="713"/>
      <c r="CM12" s="713"/>
      <c r="CN12" s="716"/>
    </row>
    <row r="13" spans="1:92" s="6" customFormat="1" ht="27">
      <c r="A13" s="1726"/>
      <c r="B13" s="227">
        <v>31001</v>
      </c>
      <c r="C13" s="177" t="s">
        <v>262</v>
      </c>
      <c r="D13" s="711">
        <v>13698.3</v>
      </c>
      <c r="E13" s="717">
        <v>13698.3</v>
      </c>
      <c r="F13" s="717"/>
      <c r="G13" s="713"/>
      <c r="H13" s="713"/>
      <c r="I13" s="713"/>
      <c r="J13" s="713"/>
      <c r="K13" s="713"/>
      <c r="L13" s="713"/>
      <c r="M13" s="713"/>
      <c r="N13" s="713"/>
      <c r="O13" s="713"/>
      <c r="P13" s="713"/>
      <c r="Q13" s="713"/>
      <c r="R13" s="713"/>
      <c r="S13" s="713"/>
      <c r="T13" s="713"/>
      <c r="U13" s="714"/>
      <c r="V13" s="718">
        <f>AMPOP!G17</f>
        <v>15936.2</v>
      </c>
      <c r="W13" s="719"/>
      <c r="X13" s="713"/>
      <c r="Y13" s="713"/>
      <c r="Z13" s="713"/>
      <c r="AA13" s="713"/>
      <c r="AB13" s="713"/>
      <c r="AC13" s="713"/>
      <c r="AD13" s="713"/>
      <c r="AE13" s="713"/>
      <c r="AF13" s="713"/>
      <c r="AG13" s="713"/>
      <c r="AH13" s="713"/>
      <c r="AI13" s="713"/>
      <c r="AJ13" s="713"/>
      <c r="AK13" s="713"/>
      <c r="AL13" s="716"/>
      <c r="AM13" s="718">
        <f>AMPOP!H17</f>
        <v>15938.599199999999</v>
      </c>
      <c r="AN13" s="720"/>
      <c r="AO13" s="713"/>
      <c r="AP13" s="713"/>
      <c r="AQ13" s="713"/>
      <c r="AR13" s="713"/>
      <c r="AS13" s="713"/>
      <c r="AT13" s="713"/>
      <c r="AU13" s="713"/>
      <c r="AV13" s="713"/>
      <c r="AW13" s="713"/>
      <c r="AX13" s="713"/>
      <c r="AY13" s="713"/>
      <c r="AZ13" s="713"/>
      <c r="BA13" s="713"/>
      <c r="BB13" s="713"/>
      <c r="BC13" s="713"/>
      <c r="BD13" s="716"/>
      <c r="BE13" s="718">
        <f>AMPOP!I17</f>
        <v>15938.599199999999</v>
      </c>
      <c r="BF13" s="719"/>
      <c r="BG13" s="713"/>
      <c r="BH13" s="713"/>
      <c r="BI13" s="713"/>
      <c r="BJ13" s="713"/>
      <c r="BK13" s="713"/>
      <c r="BL13" s="713"/>
      <c r="BM13" s="713"/>
      <c r="BN13" s="713"/>
      <c r="BO13" s="713"/>
      <c r="BP13" s="713"/>
      <c r="BQ13" s="713"/>
      <c r="BR13" s="713"/>
      <c r="BS13" s="713"/>
      <c r="BT13" s="713"/>
      <c r="BU13" s="713"/>
      <c r="BV13" s="716"/>
      <c r="BW13" s="718">
        <f>AMPOP!J17</f>
        <v>15938.599199999999</v>
      </c>
      <c r="BX13" s="719"/>
      <c r="BY13" s="713"/>
      <c r="BZ13" s="713"/>
      <c r="CA13" s="713"/>
      <c r="CB13" s="713"/>
      <c r="CC13" s="713"/>
      <c r="CD13" s="713"/>
      <c r="CE13" s="713"/>
      <c r="CF13" s="713"/>
      <c r="CG13" s="713"/>
      <c r="CH13" s="713"/>
      <c r="CI13" s="713"/>
      <c r="CJ13" s="713"/>
      <c r="CK13" s="713"/>
      <c r="CL13" s="713"/>
      <c r="CM13" s="713"/>
      <c r="CN13" s="716"/>
    </row>
    <row r="14" spans="1:92" s="58" customFormat="1" ht="14.25">
      <c r="A14" s="190" t="s">
        <v>233</v>
      </c>
      <c r="B14" s="223"/>
      <c r="C14" s="185" t="s">
        <v>234</v>
      </c>
      <c r="D14" s="706">
        <f>D15</f>
        <v>149471.35999999999</v>
      </c>
      <c r="E14" s="707">
        <f t="shared" ref="E14:U14" si="37">E15</f>
        <v>0</v>
      </c>
      <c r="F14" s="707">
        <f t="shared" si="37"/>
        <v>0</v>
      </c>
      <c r="G14" s="707">
        <f t="shared" si="37"/>
        <v>37963.42</v>
      </c>
      <c r="H14" s="707">
        <f t="shared" si="37"/>
        <v>111507.94</v>
      </c>
      <c r="I14" s="707">
        <f t="shared" si="37"/>
        <v>0</v>
      </c>
      <c r="J14" s="707">
        <f t="shared" si="37"/>
        <v>0</v>
      </c>
      <c r="K14" s="707">
        <f t="shared" si="37"/>
        <v>0</v>
      </c>
      <c r="L14" s="707">
        <f t="shared" si="37"/>
        <v>0</v>
      </c>
      <c r="M14" s="707">
        <f t="shared" si="37"/>
        <v>0</v>
      </c>
      <c r="N14" s="707">
        <f t="shared" si="37"/>
        <v>0</v>
      </c>
      <c r="O14" s="707">
        <f t="shared" si="37"/>
        <v>0</v>
      </c>
      <c r="P14" s="707">
        <f t="shared" si="37"/>
        <v>0</v>
      </c>
      <c r="Q14" s="707">
        <f t="shared" si="37"/>
        <v>0</v>
      </c>
      <c r="R14" s="707">
        <f t="shared" si="37"/>
        <v>0</v>
      </c>
      <c r="S14" s="707">
        <f t="shared" si="37"/>
        <v>0</v>
      </c>
      <c r="T14" s="707">
        <f t="shared" si="37"/>
        <v>0</v>
      </c>
      <c r="U14" s="708">
        <f t="shared" si="37"/>
        <v>0</v>
      </c>
      <c r="V14" s="709">
        <f>V15</f>
        <v>0</v>
      </c>
      <c r="W14" s="707">
        <f t="shared" ref="W14:AL14" si="38">W15</f>
        <v>0</v>
      </c>
      <c r="X14" s="707">
        <f t="shared" si="38"/>
        <v>0</v>
      </c>
      <c r="Y14" s="707">
        <f t="shared" si="38"/>
        <v>0</v>
      </c>
      <c r="Z14" s="707">
        <f t="shared" si="38"/>
        <v>0</v>
      </c>
      <c r="AA14" s="707">
        <f t="shared" si="38"/>
        <v>0</v>
      </c>
      <c r="AB14" s="707">
        <f t="shared" si="38"/>
        <v>0</v>
      </c>
      <c r="AC14" s="707">
        <f t="shared" si="38"/>
        <v>0</v>
      </c>
      <c r="AD14" s="707">
        <f t="shared" si="38"/>
        <v>0</v>
      </c>
      <c r="AE14" s="707">
        <f t="shared" si="38"/>
        <v>0</v>
      </c>
      <c r="AF14" s="707">
        <f t="shared" si="38"/>
        <v>0</v>
      </c>
      <c r="AG14" s="707">
        <f t="shared" si="38"/>
        <v>0</v>
      </c>
      <c r="AH14" s="707">
        <f t="shared" si="38"/>
        <v>0</v>
      </c>
      <c r="AI14" s="707">
        <f t="shared" si="38"/>
        <v>0</v>
      </c>
      <c r="AJ14" s="707">
        <f t="shared" si="38"/>
        <v>0</v>
      </c>
      <c r="AK14" s="707">
        <f t="shared" si="38"/>
        <v>0</v>
      </c>
      <c r="AL14" s="710">
        <f t="shared" si="38"/>
        <v>0</v>
      </c>
      <c r="AM14" s="709">
        <f>AM15</f>
        <v>633955</v>
      </c>
      <c r="AN14" s="707">
        <f t="shared" ref="AN14" si="39">AN15</f>
        <v>0</v>
      </c>
      <c r="AO14" s="707">
        <f t="shared" ref="AO14" si="40">AO15</f>
        <v>633955</v>
      </c>
      <c r="AP14" s="707">
        <f t="shared" ref="AP14" si="41">AP15</f>
        <v>0</v>
      </c>
      <c r="AQ14" s="707">
        <f t="shared" ref="AQ14" si="42">AQ15</f>
        <v>0</v>
      </c>
      <c r="AR14" s="707">
        <f t="shared" ref="AR14" si="43">AR15</f>
        <v>0</v>
      </c>
      <c r="AS14" s="707">
        <f t="shared" ref="AS14" si="44">AS15</f>
        <v>0</v>
      </c>
      <c r="AT14" s="707">
        <f t="shared" ref="AT14" si="45">AT15</f>
        <v>0</v>
      </c>
      <c r="AU14" s="707">
        <f t="shared" ref="AU14" si="46">AU15</f>
        <v>0</v>
      </c>
      <c r="AV14" s="707">
        <f t="shared" ref="AV14" si="47">AV15</f>
        <v>0</v>
      </c>
      <c r="AW14" s="707"/>
      <c r="AX14" s="707">
        <f t="shared" ref="AX14" si="48">AX15</f>
        <v>0</v>
      </c>
      <c r="AY14" s="707">
        <f t="shared" ref="AY14" si="49">AY15</f>
        <v>0</v>
      </c>
      <c r="AZ14" s="707">
        <f t="shared" ref="AZ14" si="50">AZ15</f>
        <v>0</v>
      </c>
      <c r="BA14" s="707">
        <f t="shared" ref="BA14" si="51">BA15</f>
        <v>0</v>
      </c>
      <c r="BB14" s="707">
        <f t="shared" ref="BB14" si="52">BB15</f>
        <v>0</v>
      </c>
      <c r="BC14" s="707">
        <f t="shared" ref="BC14" si="53">BC15</f>
        <v>0</v>
      </c>
      <c r="BD14" s="710">
        <f t="shared" ref="BD14" si="54">BD15</f>
        <v>0</v>
      </c>
      <c r="BE14" s="709">
        <f>BE15</f>
        <v>65193.4</v>
      </c>
      <c r="BF14" s="707">
        <f t="shared" ref="BF14:BN14" si="55">BF15</f>
        <v>0</v>
      </c>
      <c r="BG14" s="707">
        <f t="shared" si="55"/>
        <v>65193.4</v>
      </c>
      <c r="BH14" s="707">
        <f t="shared" si="55"/>
        <v>0</v>
      </c>
      <c r="BI14" s="707">
        <f t="shared" si="55"/>
        <v>0</v>
      </c>
      <c r="BJ14" s="707">
        <f t="shared" si="55"/>
        <v>0</v>
      </c>
      <c r="BK14" s="707">
        <f t="shared" si="55"/>
        <v>0</v>
      </c>
      <c r="BL14" s="707">
        <f t="shared" si="55"/>
        <v>0</v>
      </c>
      <c r="BM14" s="707">
        <f t="shared" si="55"/>
        <v>0</v>
      </c>
      <c r="BN14" s="707">
        <f t="shared" si="55"/>
        <v>0</v>
      </c>
      <c r="BO14" s="707"/>
      <c r="BP14" s="707">
        <f t="shared" ref="BP14:BV14" si="56">BP15</f>
        <v>0</v>
      </c>
      <c r="BQ14" s="707">
        <f t="shared" si="56"/>
        <v>0</v>
      </c>
      <c r="BR14" s="707">
        <f t="shared" si="56"/>
        <v>0</v>
      </c>
      <c r="BS14" s="707">
        <f t="shared" si="56"/>
        <v>0</v>
      </c>
      <c r="BT14" s="707">
        <f t="shared" si="56"/>
        <v>0</v>
      </c>
      <c r="BU14" s="707">
        <f t="shared" si="56"/>
        <v>0</v>
      </c>
      <c r="BV14" s="710">
        <f t="shared" si="56"/>
        <v>0</v>
      </c>
      <c r="BW14" s="709">
        <f>BW15</f>
        <v>7613.6</v>
      </c>
      <c r="BX14" s="707">
        <f t="shared" ref="BX14:CF14" si="57">BX15</f>
        <v>0</v>
      </c>
      <c r="BY14" s="707">
        <f t="shared" si="57"/>
        <v>7613.6</v>
      </c>
      <c r="BZ14" s="707">
        <f t="shared" si="57"/>
        <v>0</v>
      </c>
      <c r="CA14" s="707">
        <f t="shared" si="57"/>
        <v>0</v>
      </c>
      <c r="CB14" s="707">
        <f t="shared" si="57"/>
        <v>0</v>
      </c>
      <c r="CC14" s="707">
        <f t="shared" si="57"/>
        <v>0</v>
      </c>
      <c r="CD14" s="707">
        <f t="shared" si="57"/>
        <v>0</v>
      </c>
      <c r="CE14" s="707">
        <f t="shared" si="57"/>
        <v>0</v>
      </c>
      <c r="CF14" s="707">
        <f t="shared" si="57"/>
        <v>0</v>
      </c>
      <c r="CG14" s="707"/>
      <c r="CH14" s="707">
        <f t="shared" ref="CH14:CN14" si="58">CH15</f>
        <v>0</v>
      </c>
      <c r="CI14" s="707">
        <f t="shared" si="58"/>
        <v>0</v>
      </c>
      <c r="CJ14" s="707">
        <f t="shared" si="58"/>
        <v>0</v>
      </c>
      <c r="CK14" s="707">
        <f t="shared" si="58"/>
        <v>0</v>
      </c>
      <c r="CL14" s="707">
        <f t="shared" si="58"/>
        <v>0</v>
      </c>
      <c r="CM14" s="707">
        <f t="shared" si="58"/>
        <v>0</v>
      </c>
      <c r="CN14" s="710">
        <f t="shared" si="58"/>
        <v>0</v>
      </c>
    </row>
    <row r="15" spans="1:92" s="7" customFormat="1" ht="17.25" customHeight="1">
      <c r="A15" s="191"/>
      <c r="B15" s="228">
        <v>12001</v>
      </c>
      <c r="C15" s="180" t="s">
        <v>235</v>
      </c>
      <c r="D15" s="711">
        <f>SUM(E15:U15)</f>
        <v>149471.35999999999</v>
      </c>
      <c r="E15" s="721"/>
      <c r="F15" s="721"/>
      <c r="G15" s="722">
        <v>37963.42</v>
      </c>
      <c r="H15" s="722">
        <v>111507.94</v>
      </c>
      <c r="I15" s="721"/>
      <c r="J15" s="721"/>
      <c r="K15" s="721"/>
      <c r="L15" s="721"/>
      <c r="M15" s="721"/>
      <c r="N15" s="721"/>
      <c r="O15" s="723"/>
      <c r="P15" s="723"/>
      <c r="Q15" s="723"/>
      <c r="R15" s="723"/>
      <c r="S15" s="723"/>
      <c r="T15" s="723"/>
      <c r="U15" s="724"/>
      <c r="V15" s="715">
        <f>SUM(W15:AL15)</f>
        <v>0</v>
      </c>
      <c r="W15" s="725"/>
      <c r="X15" s="726"/>
      <c r="Y15" s="726"/>
      <c r="Z15" s="726"/>
      <c r="AA15" s="726"/>
      <c r="AB15" s="726"/>
      <c r="AC15" s="726"/>
      <c r="AD15" s="726"/>
      <c r="AE15" s="726"/>
      <c r="AF15" s="723"/>
      <c r="AG15" s="723"/>
      <c r="AH15" s="723"/>
      <c r="AI15" s="723"/>
      <c r="AJ15" s="723"/>
      <c r="AK15" s="723"/>
      <c r="AL15" s="727"/>
      <c r="AM15" s="715">
        <f>SUM(AN15:BD15)</f>
        <v>633955</v>
      </c>
      <c r="AN15" s="717"/>
      <c r="AO15" s="726">
        <f>AMPOP!H19</f>
        <v>633955</v>
      </c>
      <c r="AP15" s="726"/>
      <c r="AQ15" s="726"/>
      <c r="AR15" s="726"/>
      <c r="AS15" s="726"/>
      <c r="AT15" s="726"/>
      <c r="AU15" s="726"/>
      <c r="AV15" s="726"/>
      <c r="AW15" s="726"/>
      <c r="AX15" s="723"/>
      <c r="AY15" s="723"/>
      <c r="AZ15" s="723"/>
      <c r="BA15" s="723"/>
      <c r="BB15" s="723"/>
      <c r="BC15" s="723"/>
      <c r="BD15" s="727"/>
      <c r="BE15" s="715">
        <f>SUM(BF15:BV15)</f>
        <v>65193.4</v>
      </c>
      <c r="BF15" s="725"/>
      <c r="BG15" s="721">
        <f>AMPOP!I19</f>
        <v>65193.4</v>
      </c>
      <c r="BH15" s="721"/>
      <c r="BI15" s="721"/>
      <c r="BJ15" s="721"/>
      <c r="BK15" s="721"/>
      <c r="BL15" s="721"/>
      <c r="BM15" s="721"/>
      <c r="BN15" s="721"/>
      <c r="BO15" s="721"/>
      <c r="BP15" s="723"/>
      <c r="BQ15" s="723"/>
      <c r="BR15" s="723"/>
      <c r="BS15" s="723"/>
      <c r="BT15" s="723"/>
      <c r="BU15" s="723"/>
      <c r="BV15" s="727"/>
      <c r="BW15" s="715">
        <f>SUM(BX15:CN15)</f>
        <v>7613.6</v>
      </c>
      <c r="BX15" s="725"/>
      <c r="BY15" s="721">
        <f>AMPOP!J19</f>
        <v>7613.6</v>
      </c>
      <c r="BZ15" s="721"/>
      <c r="CA15" s="721"/>
      <c r="CB15" s="721"/>
      <c r="CC15" s="721"/>
      <c r="CD15" s="721"/>
      <c r="CE15" s="721"/>
      <c r="CF15" s="721"/>
      <c r="CG15" s="721"/>
      <c r="CH15" s="723"/>
      <c r="CI15" s="723"/>
      <c r="CJ15" s="723"/>
      <c r="CK15" s="723"/>
      <c r="CL15" s="723"/>
      <c r="CM15" s="723"/>
      <c r="CN15" s="727"/>
    </row>
    <row r="16" spans="1:92" s="58" customFormat="1" ht="28.5">
      <c r="A16" s="189" t="s">
        <v>236</v>
      </c>
      <c r="B16" s="267"/>
      <c r="C16" s="186" t="s">
        <v>237</v>
      </c>
      <c r="D16" s="706">
        <f>D17+D18+D19+D20+D21+D22+D23+D24+D25+D26+D27+D28+D29</f>
        <v>1735985.36</v>
      </c>
      <c r="E16" s="707">
        <f t="shared" ref="E16:T16" si="59">E17+E18+E19+E20+E21+E22+E23+E24+E25+E26+E27+E28+E29</f>
        <v>1243264.7</v>
      </c>
      <c r="F16" s="707">
        <f t="shared" si="59"/>
        <v>0</v>
      </c>
      <c r="G16" s="707">
        <f t="shared" si="59"/>
        <v>0</v>
      </c>
      <c r="H16" s="707">
        <f t="shared" si="59"/>
        <v>0</v>
      </c>
      <c r="I16" s="707">
        <f t="shared" si="59"/>
        <v>263908.96000000002</v>
      </c>
      <c r="J16" s="707">
        <f t="shared" si="59"/>
        <v>225817.2</v>
      </c>
      <c r="K16" s="707">
        <f t="shared" si="59"/>
        <v>0</v>
      </c>
      <c r="L16" s="707">
        <f t="shared" si="59"/>
        <v>0</v>
      </c>
      <c r="M16" s="707">
        <f t="shared" si="59"/>
        <v>0</v>
      </c>
      <c r="N16" s="707">
        <f t="shared" si="59"/>
        <v>0</v>
      </c>
      <c r="O16" s="707">
        <f t="shared" si="59"/>
        <v>0</v>
      </c>
      <c r="P16" s="707">
        <f t="shared" si="59"/>
        <v>0</v>
      </c>
      <c r="Q16" s="707">
        <f t="shared" ref="Q16:R16" si="60">Q17+Q18+Q19+Q20+Q21+Q22+Q23+Q24+Q25+Q26+Q27+Q28+Q29</f>
        <v>760</v>
      </c>
      <c r="R16" s="707">
        <f t="shared" si="60"/>
        <v>2234.5</v>
      </c>
      <c r="S16" s="707">
        <f t="shared" si="59"/>
        <v>0</v>
      </c>
      <c r="T16" s="707">
        <f t="shared" si="59"/>
        <v>0</v>
      </c>
      <c r="U16" s="708">
        <f>U17+U18+U19+U20+U21+U22+U23+U24+U25+U26+U27+U28+U29</f>
        <v>0</v>
      </c>
      <c r="V16" s="709">
        <f>V17+V18+V19+V20+V21+V22+V23+V24+V25+V26+V27+V28+V29</f>
        <v>2840595.9000000004</v>
      </c>
      <c r="W16" s="707">
        <f t="shared" ref="W16:AL16" si="61">W17+W18+W19+W20+W21+W22+W23+W24+W25+W26+W27+W28+W29</f>
        <v>1031361.0999999999</v>
      </c>
      <c r="X16" s="707">
        <f t="shared" si="61"/>
        <v>0</v>
      </c>
      <c r="Y16" s="707">
        <f t="shared" si="61"/>
        <v>0</v>
      </c>
      <c r="Z16" s="707">
        <f t="shared" si="61"/>
        <v>639017.10000000009</v>
      </c>
      <c r="AA16" s="707">
        <f t="shared" si="61"/>
        <v>500680</v>
      </c>
      <c r="AB16" s="707">
        <f t="shared" si="61"/>
        <v>58771.4</v>
      </c>
      <c r="AC16" s="707">
        <f t="shared" si="61"/>
        <v>37646.400000000001</v>
      </c>
      <c r="AD16" s="707">
        <f t="shared" si="61"/>
        <v>0</v>
      </c>
      <c r="AE16" s="707">
        <f t="shared" si="61"/>
        <v>271863.59999999998</v>
      </c>
      <c r="AF16" s="707">
        <f t="shared" si="61"/>
        <v>0</v>
      </c>
      <c r="AG16" s="707">
        <f t="shared" si="61"/>
        <v>0</v>
      </c>
      <c r="AH16" s="707">
        <f t="shared" si="61"/>
        <v>301256.3</v>
      </c>
      <c r="AI16" s="707">
        <f t="shared" si="61"/>
        <v>0</v>
      </c>
      <c r="AJ16" s="707">
        <f t="shared" si="61"/>
        <v>0</v>
      </c>
      <c r="AK16" s="707">
        <f t="shared" si="61"/>
        <v>0</v>
      </c>
      <c r="AL16" s="710">
        <f t="shared" si="61"/>
        <v>0</v>
      </c>
      <c r="AM16" s="709">
        <f>AM17+AM18+AM19+AM20+AM21+AM22+AM23+AM24+AM25+AM26+AM27+AM28+AM29</f>
        <v>3574038.9400000004</v>
      </c>
      <c r="AN16" s="707">
        <f t="shared" ref="AN16" si="62">AN17+AN18+AN19+AN20+AN21+AN22+AN23+AN24+AN25+AN26+AN27+AN28+AN29</f>
        <v>1284396.5999999999</v>
      </c>
      <c r="AO16" s="707">
        <f t="shared" ref="AO16" si="63">AO17+AO18+AO19+AO20+AO21+AO22+AO23+AO24+AO25+AO26+AO27+AO28+AO29</f>
        <v>0</v>
      </c>
      <c r="AP16" s="707">
        <f t="shared" ref="AP16" si="64">AP17+AP18+AP19+AP20+AP21+AP22+AP23+AP24+AP25+AP26+AP27+AP28+AP29</f>
        <v>0</v>
      </c>
      <c r="AQ16" s="707">
        <f t="shared" ref="AQ16" si="65">AQ17+AQ18+AQ19+AQ20+AQ21+AQ22+AQ23+AQ24+AQ25+AQ26+AQ27+AQ28+AQ29</f>
        <v>778223.44</v>
      </c>
      <c r="AR16" s="707">
        <f t="shared" ref="AR16" si="66">AR17+AR18+AR19+AR20+AR21+AR22+AR23+AR24+AR25+AR26+AR27+AR28+AR29</f>
        <v>516632.78</v>
      </c>
      <c r="AS16" s="707">
        <f t="shared" ref="AS16" si="67">AS17+AS18+AS19+AS20+AS21+AS22+AS23+AS24+AS25+AS26+AS27+AS28+AS29</f>
        <v>68428.600000000006</v>
      </c>
      <c r="AT16" s="707">
        <f t="shared" ref="AT16" si="68">AT17+AT18+AT19+AT20+AT21+AT22+AT23+AT24+AT25+AT26+AT27+AT28+AT29</f>
        <v>57753.599999999999</v>
      </c>
      <c r="AU16" s="707">
        <f t="shared" ref="AU16" si="69">AU17+AU18+AU19+AU20+AU21+AU22+AU23+AU24+AU25+AU26+AU27+AU28+AU29</f>
        <v>0</v>
      </c>
      <c r="AV16" s="707">
        <f t="shared" ref="AV16" si="70">AV17+AV18+AV19+AV20+AV21+AV22+AV23+AV24+AV25+AV26+AV27+AV28+AV29</f>
        <v>16800</v>
      </c>
      <c r="AW16" s="707"/>
      <c r="AX16" s="707">
        <f t="shared" ref="AX16" si="71">AX17+AX18+AX19+AX20+AX21+AX22+AX23+AX24+AX25+AX26+AX27+AX28+AX29</f>
        <v>62637.2</v>
      </c>
      <c r="AY16" s="707">
        <f t="shared" ref="AY16" si="72">AY17+AY18+AY19+AY20+AY21+AY22+AY23+AY24+AY25+AY26+AY27+AY28+AY29</f>
        <v>87570.3</v>
      </c>
      <c r="AZ16" s="707">
        <f t="shared" ref="AZ16" si="73">AZ17+AZ18+AZ19+AZ20+AZ21+AZ22+AZ23+AZ24+AZ25+AZ26+AZ27+AZ28+AZ29</f>
        <v>11042.399999999996</v>
      </c>
      <c r="BA16" s="707">
        <f t="shared" ref="BA16" si="74">BA17+BA18+BA19+BA20+BA21+BA22+BA23+BA24+BA25+BA26+BA27+BA28+BA29</f>
        <v>420854.82000000007</v>
      </c>
      <c r="BB16" s="707">
        <f t="shared" ref="BB16" si="75">BB17+BB18+BB19+BB20+BB21+BB22+BB23+BB24+BB25+BB26+BB27+BB28+BB29</f>
        <v>0</v>
      </c>
      <c r="BC16" s="707">
        <f t="shared" ref="BC16" si="76">BC17+BC18+BC19+BC20+BC21+BC22+BC23+BC24+BC25+BC26+BC27+BC28+BC29</f>
        <v>0</v>
      </c>
      <c r="BD16" s="710">
        <f t="shared" ref="BD16" si="77">BD17+BD18+BD19+BD20+BD21+BD22+BD23+BD24+BD25+BD26+BD27+BD28+BD29</f>
        <v>0</v>
      </c>
      <c r="BE16" s="709">
        <f>BE17+BE18+BE19+BE20+BE21+BE22+BE23+BE24+BE25+BE26+BE27+BE28+BE29</f>
        <v>1515791.1</v>
      </c>
      <c r="BF16" s="707">
        <f t="shared" ref="BF16:BN16" si="78">BF17+BF18+BF19+BF20+BF21+BF22+BF23+BF24+BF25+BF26+BF27+BF28+BF29</f>
        <v>1284396.5999999999</v>
      </c>
      <c r="BG16" s="707">
        <f t="shared" si="78"/>
        <v>0</v>
      </c>
      <c r="BH16" s="707">
        <f t="shared" si="78"/>
        <v>0</v>
      </c>
      <c r="BI16" s="707">
        <f t="shared" si="78"/>
        <v>224394.5</v>
      </c>
      <c r="BJ16" s="707">
        <f t="shared" si="78"/>
        <v>7000</v>
      </c>
      <c r="BK16" s="707">
        <f t="shared" si="78"/>
        <v>0</v>
      </c>
      <c r="BL16" s="707">
        <f t="shared" si="78"/>
        <v>0</v>
      </c>
      <c r="BM16" s="707">
        <f t="shared" si="78"/>
        <v>0</v>
      </c>
      <c r="BN16" s="707">
        <f t="shared" si="78"/>
        <v>0</v>
      </c>
      <c r="BO16" s="707"/>
      <c r="BP16" s="707">
        <f t="shared" ref="BP16:BV16" si="79">BP17+BP18+BP19+BP20+BP21+BP22+BP23+BP24+BP25+BP26+BP27+BP28+BP29</f>
        <v>0</v>
      </c>
      <c r="BQ16" s="707">
        <f t="shared" si="79"/>
        <v>0</v>
      </c>
      <c r="BR16" s="707">
        <f t="shared" si="79"/>
        <v>0</v>
      </c>
      <c r="BS16" s="707">
        <f t="shared" si="79"/>
        <v>0</v>
      </c>
      <c r="BT16" s="707">
        <f t="shared" si="79"/>
        <v>0</v>
      </c>
      <c r="BU16" s="707">
        <f t="shared" si="79"/>
        <v>0</v>
      </c>
      <c r="BV16" s="710">
        <f t="shared" si="79"/>
        <v>0</v>
      </c>
      <c r="BW16" s="709">
        <f>BW17+BW18+BW19+BW20+BW21+BW22+BW23+BW24+BW25+BW26+BW27+BW28+BW29</f>
        <v>1515791.1</v>
      </c>
      <c r="BX16" s="707">
        <f t="shared" ref="BX16:CF16" si="80">BX17+BX18+BX19+BX20+BX21+BX22+BX23+BX24+BX25+BX26+BX27+BX28+BX29</f>
        <v>1284396.5999999999</v>
      </c>
      <c r="BY16" s="707">
        <f t="shared" si="80"/>
        <v>0</v>
      </c>
      <c r="BZ16" s="707">
        <f t="shared" si="80"/>
        <v>0</v>
      </c>
      <c r="CA16" s="707">
        <f t="shared" si="80"/>
        <v>224394.5</v>
      </c>
      <c r="CB16" s="707">
        <f t="shared" si="80"/>
        <v>7000</v>
      </c>
      <c r="CC16" s="707">
        <f t="shared" si="80"/>
        <v>0</v>
      </c>
      <c r="CD16" s="707">
        <f t="shared" si="80"/>
        <v>0</v>
      </c>
      <c r="CE16" s="707">
        <f t="shared" si="80"/>
        <v>0</v>
      </c>
      <c r="CF16" s="707">
        <f t="shared" si="80"/>
        <v>0</v>
      </c>
      <c r="CG16" s="707"/>
      <c r="CH16" s="707">
        <f t="shared" ref="CH16:CN16" si="81">CH17+CH18+CH19+CH20+CH21+CH22+CH23+CH24+CH25+CH26+CH27+CH28+CH29</f>
        <v>0</v>
      </c>
      <c r="CI16" s="707">
        <f t="shared" si="81"/>
        <v>0</v>
      </c>
      <c r="CJ16" s="707">
        <f t="shared" si="81"/>
        <v>0</v>
      </c>
      <c r="CK16" s="707">
        <f t="shared" si="81"/>
        <v>0</v>
      </c>
      <c r="CL16" s="707">
        <f t="shared" si="81"/>
        <v>0</v>
      </c>
      <c r="CM16" s="707">
        <f t="shared" si="81"/>
        <v>0</v>
      </c>
      <c r="CN16" s="710">
        <f t="shared" si="81"/>
        <v>0</v>
      </c>
    </row>
    <row r="17" spans="1:92" s="7" customFormat="1" ht="40.5" customHeight="1">
      <c r="A17" s="192"/>
      <c r="B17" s="229">
        <v>11001</v>
      </c>
      <c r="C17" s="179" t="s">
        <v>238</v>
      </c>
      <c r="D17" s="711">
        <f t="shared" ref="D17:D29" si="82">SUM(E17:U17)</f>
        <v>361660.4</v>
      </c>
      <c r="E17" s="721"/>
      <c r="F17" s="721"/>
      <c r="G17" s="721"/>
      <c r="H17" s="721"/>
      <c r="I17" s="711">
        <v>142843.20000000001</v>
      </c>
      <c r="J17" s="711">
        <v>218817.2</v>
      </c>
      <c r="K17" s="721"/>
      <c r="L17" s="721"/>
      <c r="M17" s="721"/>
      <c r="N17" s="721"/>
      <c r="O17" s="723"/>
      <c r="P17" s="723"/>
      <c r="Q17" s="723"/>
      <c r="R17" s="723"/>
      <c r="S17" s="723"/>
      <c r="T17" s="723"/>
      <c r="U17" s="724"/>
      <c r="V17" s="715">
        <f t="shared" ref="V17:V26" si="83">SUM(W17:AL17)</f>
        <v>423154.3</v>
      </c>
      <c r="W17" s="725"/>
      <c r="X17" s="726"/>
      <c r="Y17" s="726"/>
      <c r="Z17" s="717">
        <f>AMPOP!G21</f>
        <v>423154.3</v>
      </c>
      <c r="AA17" s="726"/>
      <c r="AB17" s="726"/>
      <c r="AC17" s="726"/>
      <c r="AD17" s="726"/>
      <c r="AE17" s="726"/>
      <c r="AF17" s="723"/>
      <c r="AG17" s="723"/>
      <c r="AH17" s="723"/>
      <c r="AI17" s="723"/>
      <c r="AJ17" s="723"/>
      <c r="AK17" s="723"/>
      <c r="AL17" s="727"/>
      <c r="AM17" s="715">
        <f t="shared" ref="AM17:AM26" si="84">SUM(AN17:BD17)</f>
        <v>546828.93999999994</v>
      </c>
      <c r="AN17" s="717"/>
      <c r="AO17" s="726"/>
      <c r="AP17" s="726"/>
      <c r="AQ17" s="717">
        <f>AMPOP!H21</f>
        <v>546828.93999999994</v>
      </c>
      <c r="AR17" s="726"/>
      <c r="AS17" s="726"/>
      <c r="AT17" s="726"/>
      <c r="AU17" s="726"/>
      <c r="AV17" s="726"/>
      <c r="AW17" s="726"/>
      <c r="AX17" s="723"/>
      <c r="AY17" s="723"/>
      <c r="AZ17" s="723"/>
      <c r="BA17" s="723"/>
      <c r="BB17" s="723"/>
      <c r="BC17" s="723"/>
      <c r="BD17" s="727"/>
      <c r="BE17" s="715">
        <f t="shared" ref="BE17:BE29" si="85">SUM(BF17:BV17)</f>
        <v>0</v>
      </c>
      <c r="BF17" s="725"/>
      <c r="BG17" s="721"/>
      <c r="BH17" s="721"/>
      <c r="BI17" s="725">
        <f>AMPOP!I21</f>
        <v>0</v>
      </c>
      <c r="BJ17" s="721"/>
      <c r="BK17" s="721"/>
      <c r="BL17" s="721"/>
      <c r="BM17" s="721"/>
      <c r="BN17" s="721"/>
      <c r="BO17" s="721"/>
      <c r="BP17" s="723"/>
      <c r="BQ17" s="723"/>
      <c r="BR17" s="723"/>
      <c r="BS17" s="723"/>
      <c r="BT17" s="723"/>
      <c r="BU17" s="723"/>
      <c r="BV17" s="727"/>
      <c r="BW17" s="715">
        <f t="shared" ref="BW17:BW29" si="86">SUM(BX17:CN17)</f>
        <v>0</v>
      </c>
      <c r="BX17" s="725"/>
      <c r="BY17" s="721"/>
      <c r="BZ17" s="721"/>
      <c r="CA17" s="725">
        <f>AMPOP!AA21</f>
        <v>0</v>
      </c>
      <c r="CB17" s="721"/>
      <c r="CC17" s="721"/>
      <c r="CD17" s="721"/>
      <c r="CE17" s="721"/>
      <c r="CF17" s="721"/>
      <c r="CG17" s="721"/>
      <c r="CH17" s="723"/>
      <c r="CI17" s="723"/>
      <c r="CJ17" s="723"/>
      <c r="CK17" s="723"/>
      <c r="CL17" s="723"/>
      <c r="CM17" s="723"/>
      <c r="CN17" s="727"/>
    </row>
    <row r="18" spans="1:92" s="7" customFormat="1" ht="13.5">
      <c r="A18" s="193"/>
      <c r="B18" s="229">
        <v>11002</v>
      </c>
      <c r="C18" s="179" t="s">
        <v>239</v>
      </c>
      <c r="D18" s="711">
        <f t="shared" si="82"/>
        <v>114375.76</v>
      </c>
      <c r="E18" s="721"/>
      <c r="F18" s="721"/>
      <c r="G18" s="721"/>
      <c r="H18" s="721"/>
      <c r="I18" s="711">
        <v>114375.76</v>
      </c>
      <c r="J18" s="711"/>
      <c r="K18" s="721"/>
      <c r="L18" s="721"/>
      <c r="M18" s="721"/>
      <c r="N18" s="721"/>
      <c r="O18" s="723"/>
      <c r="P18" s="723"/>
      <c r="Q18" s="723"/>
      <c r="R18" s="723"/>
      <c r="S18" s="723"/>
      <c r="T18" s="723"/>
      <c r="U18" s="724"/>
      <c r="V18" s="715">
        <f t="shared" si="83"/>
        <v>208238.5</v>
      </c>
      <c r="W18" s="725"/>
      <c r="X18" s="726"/>
      <c r="Y18" s="726"/>
      <c r="Z18" s="717">
        <f>AMPOP!G22</f>
        <v>208238.5</v>
      </c>
      <c r="AA18" s="726"/>
      <c r="AB18" s="726"/>
      <c r="AC18" s="726"/>
      <c r="AD18" s="726"/>
      <c r="AE18" s="726"/>
      <c r="AF18" s="723"/>
      <c r="AG18" s="723"/>
      <c r="AH18" s="723"/>
      <c r="AI18" s="723"/>
      <c r="AJ18" s="723"/>
      <c r="AK18" s="723"/>
      <c r="AL18" s="727"/>
      <c r="AM18" s="715">
        <f t="shared" si="84"/>
        <v>216804.1</v>
      </c>
      <c r="AN18" s="717"/>
      <c r="AO18" s="726"/>
      <c r="AP18" s="726"/>
      <c r="AQ18" s="717">
        <f>AMPOP!H22</f>
        <v>216804.1</v>
      </c>
      <c r="AR18" s="726"/>
      <c r="AS18" s="726"/>
      <c r="AT18" s="726"/>
      <c r="AU18" s="726"/>
      <c r="AV18" s="726"/>
      <c r="AW18" s="726"/>
      <c r="AX18" s="723"/>
      <c r="AY18" s="723"/>
      <c r="AZ18" s="723"/>
      <c r="BA18" s="723"/>
      <c r="BB18" s="723"/>
      <c r="BC18" s="723"/>
      <c r="BD18" s="727"/>
      <c r="BE18" s="715">
        <f t="shared" si="85"/>
        <v>216804.1</v>
      </c>
      <c r="BF18" s="725"/>
      <c r="BG18" s="721"/>
      <c r="BH18" s="721"/>
      <c r="BI18" s="725">
        <f>AMPOP!I22</f>
        <v>216804.1</v>
      </c>
      <c r="BJ18" s="721"/>
      <c r="BK18" s="721"/>
      <c r="BL18" s="721"/>
      <c r="BM18" s="721"/>
      <c r="BN18" s="721"/>
      <c r="BO18" s="721"/>
      <c r="BP18" s="723"/>
      <c r="BQ18" s="723"/>
      <c r="BR18" s="723"/>
      <c r="BS18" s="723"/>
      <c r="BT18" s="723"/>
      <c r="BU18" s="723"/>
      <c r="BV18" s="727"/>
      <c r="BW18" s="715">
        <f t="shared" si="86"/>
        <v>216804.1</v>
      </c>
      <c r="BX18" s="725"/>
      <c r="BY18" s="721"/>
      <c r="BZ18" s="721"/>
      <c r="CA18" s="725">
        <f>AMPOP!J22</f>
        <v>216804.1</v>
      </c>
      <c r="CB18" s="721"/>
      <c r="CC18" s="721"/>
      <c r="CD18" s="721"/>
      <c r="CE18" s="721"/>
      <c r="CF18" s="721"/>
      <c r="CG18" s="721"/>
      <c r="CH18" s="723"/>
      <c r="CI18" s="723"/>
      <c r="CJ18" s="723"/>
      <c r="CK18" s="723"/>
      <c r="CL18" s="723"/>
      <c r="CM18" s="723"/>
      <c r="CN18" s="727"/>
    </row>
    <row r="19" spans="1:92" s="7" customFormat="1" ht="27">
      <c r="A19" s="193"/>
      <c r="B19" s="229">
        <v>11003</v>
      </c>
      <c r="C19" s="179" t="s">
        <v>240</v>
      </c>
      <c r="D19" s="711">
        <f t="shared" si="82"/>
        <v>6690</v>
      </c>
      <c r="E19" s="721"/>
      <c r="F19" s="721"/>
      <c r="G19" s="721"/>
      <c r="H19" s="721"/>
      <c r="I19" s="711">
        <v>6690</v>
      </c>
      <c r="J19" s="711"/>
      <c r="K19" s="721"/>
      <c r="L19" s="721"/>
      <c r="M19" s="721"/>
      <c r="N19" s="721"/>
      <c r="O19" s="723"/>
      <c r="P19" s="723"/>
      <c r="Q19" s="723"/>
      <c r="R19" s="723"/>
      <c r="S19" s="723"/>
      <c r="T19" s="723"/>
      <c r="U19" s="724"/>
      <c r="V19" s="715">
        <f t="shared" si="83"/>
        <v>7624.3</v>
      </c>
      <c r="W19" s="725"/>
      <c r="X19" s="726"/>
      <c r="Y19" s="726"/>
      <c r="Z19" s="717">
        <f>AMPOP!G23</f>
        <v>7624.3</v>
      </c>
      <c r="AA19" s="726"/>
      <c r="AB19" s="726"/>
      <c r="AC19" s="726"/>
      <c r="AD19" s="726"/>
      <c r="AE19" s="726"/>
      <c r="AF19" s="723"/>
      <c r="AG19" s="723"/>
      <c r="AH19" s="723"/>
      <c r="AI19" s="723"/>
      <c r="AJ19" s="723"/>
      <c r="AK19" s="723"/>
      <c r="AL19" s="727"/>
      <c r="AM19" s="715">
        <f t="shared" si="84"/>
        <v>7590.4</v>
      </c>
      <c r="AN19" s="717"/>
      <c r="AO19" s="726"/>
      <c r="AP19" s="726"/>
      <c r="AQ19" s="717">
        <f>AMPOP!H23</f>
        <v>7590.4</v>
      </c>
      <c r="AR19" s="726"/>
      <c r="AS19" s="726"/>
      <c r="AT19" s="726"/>
      <c r="AU19" s="726"/>
      <c r="AV19" s="726"/>
      <c r="AW19" s="726"/>
      <c r="AX19" s="723"/>
      <c r="AY19" s="723"/>
      <c r="AZ19" s="723"/>
      <c r="BA19" s="723"/>
      <c r="BB19" s="723"/>
      <c r="BC19" s="723"/>
      <c r="BD19" s="727"/>
      <c r="BE19" s="715">
        <f t="shared" si="85"/>
        <v>7590.4</v>
      </c>
      <c r="BF19" s="725"/>
      <c r="BG19" s="721"/>
      <c r="BH19" s="721"/>
      <c r="BI19" s="725">
        <f>AMPOP!I23</f>
        <v>7590.4</v>
      </c>
      <c r="BJ19" s="721"/>
      <c r="BK19" s="721"/>
      <c r="BL19" s="721"/>
      <c r="BM19" s="721"/>
      <c r="BN19" s="721"/>
      <c r="BO19" s="721"/>
      <c r="BP19" s="723"/>
      <c r="BQ19" s="723"/>
      <c r="BR19" s="723"/>
      <c r="BS19" s="723"/>
      <c r="BT19" s="723"/>
      <c r="BU19" s="723"/>
      <c r="BV19" s="727"/>
      <c r="BW19" s="715">
        <f t="shared" si="86"/>
        <v>7590.4</v>
      </c>
      <c r="BX19" s="725"/>
      <c r="BY19" s="721"/>
      <c r="BZ19" s="721"/>
      <c r="CA19" s="725">
        <f>AMPOP!J23</f>
        <v>7590.4</v>
      </c>
      <c r="CB19" s="721"/>
      <c r="CC19" s="721"/>
      <c r="CD19" s="721"/>
      <c r="CE19" s="721"/>
      <c r="CF19" s="721"/>
      <c r="CG19" s="721"/>
      <c r="CH19" s="723"/>
      <c r="CI19" s="723"/>
      <c r="CJ19" s="723"/>
      <c r="CK19" s="723"/>
      <c r="CL19" s="723"/>
      <c r="CM19" s="723"/>
      <c r="CN19" s="727"/>
    </row>
    <row r="20" spans="1:92" s="7" customFormat="1" ht="31.5" customHeight="1">
      <c r="A20" s="193"/>
      <c r="B20" s="229">
        <v>11004</v>
      </c>
      <c r="C20" s="177" t="s">
        <v>241</v>
      </c>
      <c r="D20" s="711">
        <f t="shared" si="82"/>
        <v>372692.7</v>
      </c>
      <c r="E20" s="711">
        <v>372692.7</v>
      </c>
      <c r="F20" s="721"/>
      <c r="G20" s="721"/>
      <c r="H20" s="721"/>
      <c r="I20" s="711"/>
      <c r="J20" s="711"/>
      <c r="K20" s="721"/>
      <c r="L20" s="721"/>
      <c r="M20" s="721"/>
      <c r="N20" s="721"/>
      <c r="O20" s="723"/>
      <c r="P20" s="723"/>
      <c r="Q20" s="723"/>
      <c r="R20" s="723"/>
      <c r="S20" s="723"/>
      <c r="T20" s="723"/>
      <c r="U20" s="724"/>
      <c r="V20" s="715">
        <f t="shared" si="83"/>
        <v>303897.7</v>
      </c>
      <c r="W20" s="725">
        <f>AMPOP!G24</f>
        <v>303897.7</v>
      </c>
      <c r="X20" s="726"/>
      <c r="Y20" s="726"/>
      <c r="Z20" s="726"/>
      <c r="AA20" s="726"/>
      <c r="AB20" s="726"/>
      <c r="AC20" s="726"/>
      <c r="AD20" s="726"/>
      <c r="AE20" s="726"/>
      <c r="AF20" s="723"/>
      <c r="AG20" s="723"/>
      <c r="AH20" s="723"/>
      <c r="AI20" s="723"/>
      <c r="AJ20" s="723"/>
      <c r="AK20" s="723"/>
      <c r="AL20" s="727"/>
      <c r="AM20" s="715">
        <f t="shared" si="84"/>
        <v>303897.7</v>
      </c>
      <c r="AN20" s="717">
        <f>AMPOP!H24</f>
        <v>303897.7</v>
      </c>
      <c r="AO20" s="726"/>
      <c r="AP20" s="726"/>
      <c r="AQ20" s="717"/>
      <c r="AR20" s="726"/>
      <c r="AS20" s="726"/>
      <c r="AT20" s="726"/>
      <c r="AU20" s="726"/>
      <c r="AV20" s="726"/>
      <c r="AW20" s="726"/>
      <c r="AX20" s="723"/>
      <c r="AY20" s="723"/>
      <c r="AZ20" s="723"/>
      <c r="BA20" s="723"/>
      <c r="BB20" s="723"/>
      <c r="BC20" s="723"/>
      <c r="BD20" s="727"/>
      <c r="BE20" s="715">
        <f t="shared" si="85"/>
        <v>303897.7</v>
      </c>
      <c r="BF20" s="725">
        <f>AMPOP!I24</f>
        <v>303897.7</v>
      </c>
      <c r="BG20" s="721"/>
      <c r="BH20" s="721"/>
      <c r="BI20" s="725"/>
      <c r="BJ20" s="721"/>
      <c r="BK20" s="721"/>
      <c r="BL20" s="721"/>
      <c r="BM20" s="721"/>
      <c r="BN20" s="721"/>
      <c r="BO20" s="721"/>
      <c r="BP20" s="723"/>
      <c r="BQ20" s="723"/>
      <c r="BR20" s="723"/>
      <c r="BS20" s="723"/>
      <c r="BT20" s="723"/>
      <c r="BU20" s="723"/>
      <c r="BV20" s="727"/>
      <c r="BW20" s="715">
        <f t="shared" si="86"/>
        <v>303897.7</v>
      </c>
      <c r="BX20" s="725">
        <f>AMPOP!J24</f>
        <v>303897.7</v>
      </c>
      <c r="BY20" s="721"/>
      <c r="BZ20" s="721"/>
      <c r="CA20" s="725"/>
      <c r="CB20" s="721"/>
      <c r="CC20" s="721"/>
      <c r="CD20" s="721"/>
      <c r="CE20" s="721"/>
      <c r="CF20" s="721"/>
      <c r="CG20" s="721"/>
      <c r="CH20" s="723"/>
      <c r="CI20" s="723"/>
      <c r="CJ20" s="723"/>
      <c r="CK20" s="723"/>
      <c r="CL20" s="723"/>
      <c r="CM20" s="723"/>
      <c r="CN20" s="727"/>
    </row>
    <row r="21" spans="1:92" s="15" customFormat="1" ht="32.25" customHeight="1">
      <c r="A21" s="193"/>
      <c r="B21" s="229">
        <v>11005</v>
      </c>
      <c r="C21" s="179" t="s">
        <v>242</v>
      </c>
      <c r="D21" s="711">
        <f t="shared" si="82"/>
        <v>201475.3</v>
      </c>
      <c r="E21" s="711">
        <v>201475.3</v>
      </c>
      <c r="F21" s="713"/>
      <c r="G21" s="713"/>
      <c r="H21" s="713"/>
      <c r="I21" s="711"/>
      <c r="J21" s="711"/>
      <c r="K21" s="713"/>
      <c r="L21" s="713"/>
      <c r="M21" s="713"/>
      <c r="N21" s="713"/>
      <c r="O21" s="713"/>
      <c r="P21" s="713"/>
      <c r="Q21" s="713"/>
      <c r="R21" s="713"/>
      <c r="S21" s="713"/>
      <c r="T21" s="713"/>
      <c r="U21" s="714"/>
      <c r="V21" s="715">
        <f t="shared" si="83"/>
        <v>164366.29999999999</v>
      </c>
      <c r="W21" s="725">
        <f>AMPOP!G25</f>
        <v>164366.29999999999</v>
      </c>
      <c r="X21" s="713"/>
      <c r="Y21" s="713"/>
      <c r="Z21" s="713"/>
      <c r="AA21" s="713"/>
      <c r="AB21" s="713"/>
      <c r="AC21" s="713"/>
      <c r="AD21" s="713"/>
      <c r="AE21" s="713"/>
      <c r="AF21" s="713"/>
      <c r="AG21" s="713"/>
      <c r="AH21" s="713"/>
      <c r="AI21" s="713"/>
      <c r="AJ21" s="713"/>
      <c r="AK21" s="713"/>
      <c r="AL21" s="716"/>
      <c r="AM21" s="715">
        <f t="shared" si="84"/>
        <v>164366.29999999999</v>
      </c>
      <c r="AN21" s="717">
        <f>AMPOP!H25</f>
        <v>164366.29999999999</v>
      </c>
      <c r="AO21" s="713"/>
      <c r="AP21" s="713"/>
      <c r="AQ21" s="717"/>
      <c r="AR21" s="713"/>
      <c r="AS21" s="713"/>
      <c r="AT21" s="713"/>
      <c r="AU21" s="713"/>
      <c r="AV21" s="713"/>
      <c r="AW21" s="713"/>
      <c r="AX21" s="713"/>
      <c r="AY21" s="713"/>
      <c r="AZ21" s="713"/>
      <c r="BA21" s="713"/>
      <c r="BB21" s="713"/>
      <c r="BC21" s="713"/>
      <c r="BD21" s="716"/>
      <c r="BE21" s="715">
        <f t="shared" si="85"/>
        <v>164366.29999999999</v>
      </c>
      <c r="BF21" s="725">
        <f>AMPOP!I25</f>
        <v>164366.29999999999</v>
      </c>
      <c r="BG21" s="713"/>
      <c r="BH21" s="713"/>
      <c r="BI21" s="725"/>
      <c r="BJ21" s="713"/>
      <c r="BK21" s="713"/>
      <c r="BL21" s="713"/>
      <c r="BM21" s="713"/>
      <c r="BN21" s="713"/>
      <c r="BO21" s="713"/>
      <c r="BP21" s="713"/>
      <c r="BQ21" s="713"/>
      <c r="BR21" s="713"/>
      <c r="BS21" s="713"/>
      <c r="BT21" s="713"/>
      <c r="BU21" s="713"/>
      <c r="BV21" s="716"/>
      <c r="BW21" s="715">
        <f t="shared" si="86"/>
        <v>164366.29999999999</v>
      </c>
      <c r="BX21" s="725">
        <f>AMPOP!J25</f>
        <v>164366.29999999999</v>
      </c>
      <c r="BY21" s="713"/>
      <c r="BZ21" s="713"/>
      <c r="CA21" s="725"/>
      <c r="CB21" s="713"/>
      <c r="CC21" s="713"/>
      <c r="CD21" s="713"/>
      <c r="CE21" s="713"/>
      <c r="CF21" s="713"/>
      <c r="CG21" s="713"/>
      <c r="CH21" s="713"/>
      <c r="CI21" s="713"/>
      <c r="CJ21" s="713"/>
      <c r="CK21" s="713"/>
      <c r="CL21" s="713"/>
      <c r="CM21" s="713"/>
      <c r="CN21" s="716"/>
    </row>
    <row r="22" spans="1:92" ht="40.5" customHeight="1">
      <c r="A22" s="193"/>
      <c r="B22" s="229">
        <v>11006</v>
      </c>
      <c r="C22" s="179" t="s">
        <v>243</v>
      </c>
      <c r="D22" s="711">
        <f t="shared" si="82"/>
        <v>190339.5</v>
      </c>
      <c r="E22" s="711">
        <v>190339.5</v>
      </c>
      <c r="F22" s="728"/>
      <c r="G22" s="728"/>
      <c r="H22" s="728"/>
      <c r="I22" s="711"/>
      <c r="J22" s="711"/>
      <c r="K22" s="728"/>
      <c r="L22" s="728"/>
      <c r="M22" s="728"/>
      <c r="N22" s="728"/>
      <c r="O22" s="729"/>
      <c r="P22" s="729"/>
      <c r="Q22" s="729"/>
      <c r="R22" s="729"/>
      <c r="S22" s="729"/>
      <c r="T22" s="729"/>
      <c r="U22" s="730"/>
      <c r="V22" s="715">
        <f t="shared" si="83"/>
        <v>169254.1</v>
      </c>
      <c r="W22" s="725">
        <f>AMPOP!G26</f>
        <v>169254.1</v>
      </c>
      <c r="X22" s="731"/>
      <c r="Y22" s="731"/>
      <c r="Z22" s="731"/>
      <c r="AA22" s="731"/>
      <c r="AB22" s="731"/>
      <c r="AC22" s="731"/>
      <c r="AD22" s="731"/>
      <c r="AE22" s="731"/>
      <c r="AF22" s="729"/>
      <c r="AG22" s="729"/>
      <c r="AH22" s="729"/>
      <c r="AI22" s="729"/>
      <c r="AJ22" s="729"/>
      <c r="AK22" s="729"/>
      <c r="AL22" s="732"/>
      <c r="AM22" s="715">
        <f t="shared" si="84"/>
        <v>388284.1</v>
      </c>
      <c r="AN22" s="717">
        <f>AMPOP!H26</f>
        <v>388284.1</v>
      </c>
      <c r="AO22" s="731"/>
      <c r="AP22" s="731"/>
      <c r="AQ22" s="717"/>
      <c r="AR22" s="731"/>
      <c r="AS22" s="731"/>
      <c r="AT22" s="731"/>
      <c r="AU22" s="731"/>
      <c r="AV22" s="731"/>
      <c r="AW22" s="731"/>
      <c r="AX22" s="729"/>
      <c r="AY22" s="729"/>
      <c r="AZ22" s="729"/>
      <c r="BA22" s="729"/>
      <c r="BB22" s="729"/>
      <c r="BC22" s="729"/>
      <c r="BD22" s="732"/>
      <c r="BE22" s="715">
        <f t="shared" si="85"/>
        <v>388284.1</v>
      </c>
      <c r="BF22" s="725">
        <f>AMPOP!I26</f>
        <v>388284.1</v>
      </c>
      <c r="BG22" s="728"/>
      <c r="BH22" s="728"/>
      <c r="BI22" s="725"/>
      <c r="BJ22" s="728"/>
      <c r="BK22" s="728"/>
      <c r="BL22" s="728"/>
      <c r="BM22" s="728"/>
      <c r="BN22" s="728"/>
      <c r="BO22" s="728"/>
      <c r="BP22" s="729"/>
      <c r="BQ22" s="729"/>
      <c r="BR22" s="729"/>
      <c r="BS22" s="729"/>
      <c r="BT22" s="729"/>
      <c r="BU22" s="729"/>
      <c r="BV22" s="732"/>
      <c r="BW22" s="715">
        <f t="shared" si="86"/>
        <v>388284.1</v>
      </c>
      <c r="BX22" s="725">
        <f>AMPOP!J26</f>
        <v>388284.1</v>
      </c>
      <c r="BY22" s="728"/>
      <c r="BZ22" s="728"/>
      <c r="CA22" s="725"/>
      <c r="CB22" s="728"/>
      <c r="CC22" s="728"/>
      <c r="CD22" s="728"/>
      <c r="CE22" s="728"/>
      <c r="CF22" s="728"/>
      <c r="CG22" s="728"/>
      <c r="CH22" s="729"/>
      <c r="CI22" s="729"/>
      <c r="CJ22" s="729"/>
      <c r="CK22" s="729"/>
      <c r="CL22" s="729"/>
      <c r="CM22" s="729"/>
      <c r="CN22" s="732"/>
    </row>
    <row r="23" spans="1:92" ht="40.5" customHeight="1">
      <c r="A23" s="193"/>
      <c r="B23" s="229">
        <v>11007</v>
      </c>
      <c r="C23" s="179" t="s">
        <v>244</v>
      </c>
      <c r="D23" s="711">
        <f t="shared" si="82"/>
        <v>188497.7</v>
      </c>
      <c r="E23" s="711">
        <v>188497.7</v>
      </c>
      <c r="F23" s="728"/>
      <c r="G23" s="728"/>
      <c r="H23" s="728"/>
      <c r="I23" s="711"/>
      <c r="J23" s="711"/>
      <c r="K23" s="728"/>
      <c r="L23" s="728"/>
      <c r="M23" s="728"/>
      <c r="N23" s="728"/>
      <c r="O23" s="729"/>
      <c r="P23" s="729"/>
      <c r="Q23" s="729"/>
      <c r="R23" s="729"/>
      <c r="S23" s="729"/>
      <c r="T23" s="729"/>
      <c r="U23" s="730"/>
      <c r="V23" s="715">
        <f t="shared" si="83"/>
        <v>152887.29999999999</v>
      </c>
      <c r="W23" s="725">
        <f>AMPOP!G27</f>
        <v>152887.29999999999</v>
      </c>
      <c r="X23" s="731"/>
      <c r="Y23" s="731"/>
      <c r="Z23" s="731"/>
      <c r="AA23" s="731"/>
      <c r="AB23" s="731"/>
      <c r="AC23" s="731"/>
      <c r="AD23" s="731"/>
      <c r="AE23" s="731"/>
      <c r="AF23" s="729"/>
      <c r="AG23" s="729"/>
      <c r="AH23" s="729"/>
      <c r="AI23" s="729"/>
      <c r="AJ23" s="729"/>
      <c r="AK23" s="729"/>
      <c r="AL23" s="732"/>
      <c r="AM23" s="715">
        <f t="shared" si="84"/>
        <v>171532.79999999999</v>
      </c>
      <c r="AN23" s="717">
        <f>AMPOP!H27</f>
        <v>171532.79999999999</v>
      </c>
      <c r="AO23" s="731"/>
      <c r="AP23" s="731"/>
      <c r="AQ23" s="717"/>
      <c r="AR23" s="731"/>
      <c r="AS23" s="731"/>
      <c r="AT23" s="731"/>
      <c r="AU23" s="731"/>
      <c r="AV23" s="731"/>
      <c r="AW23" s="731"/>
      <c r="AX23" s="729"/>
      <c r="AY23" s="729"/>
      <c r="AZ23" s="729"/>
      <c r="BA23" s="729"/>
      <c r="BB23" s="729"/>
      <c r="BC23" s="729"/>
      <c r="BD23" s="732"/>
      <c r="BE23" s="715">
        <f t="shared" si="85"/>
        <v>171532.79999999999</v>
      </c>
      <c r="BF23" s="725">
        <f>AMPOP!I27</f>
        <v>171532.79999999999</v>
      </c>
      <c r="BG23" s="728"/>
      <c r="BH23" s="728"/>
      <c r="BI23" s="725"/>
      <c r="BJ23" s="728"/>
      <c r="BK23" s="728"/>
      <c r="BL23" s="728"/>
      <c r="BM23" s="728"/>
      <c r="BN23" s="728"/>
      <c r="BO23" s="728"/>
      <c r="BP23" s="729"/>
      <c r="BQ23" s="729"/>
      <c r="BR23" s="729"/>
      <c r="BS23" s="729"/>
      <c r="BT23" s="729"/>
      <c r="BU23" s="729"/>
      <c r="BV23" s="732"/>
      <c r="BW23" s="715">
        <f t="shared" si="86"/>
        <v>171532.79999999999</v>
      </c>
      <c r="BX23" s="725">
        <f>AMPOP!J27</f>
        <v>171532.79999999999</v>
      </c>
      <c r="BY23" s="728"/>
      <c r="BZ23" s="728"/>
      <c r="CA23" s="725"/>
      <c r="CB23" s="728"/>
      <c r="CC23" s="728"/>
      <c r="CD23" s="728"/>
      <c r="CE23" s="728"/>
      <c r="CF23" s="728"/>
      <c r="CG23" s="728"/>
      <c r="CH23" s="729"/>
      <c r="CI23" s="729"/>
      <c r="CJ23" s="729"/>
      <c r="CK23" s="729"/>
      <c r="CL23" s="729"/>
      <c r="CM23" s="729"/>
      <c r="CN23" s="732"/>
    </row>
    <row r="24" spans="1:92" s="3" customFormat="1" ht="27">
      <c r="A24" s="194"/>
      <c r="B24" s="229">
        <v>11008</v>
      </c>
      <c r="C24" s="179" t="s">
        <v>263</v>
      </c>
      <c r="D24" s="711">
        <f t="shared" si="82"/>
        <v>73869.100000000006</v>
      </c>
      <c r="E24" s="711">
        <v>73869.100000000006</v>
      </c>
      <c r="F24" s="713"/>
      <c r="G24" s="713"/>
      <c r="H24" s="713"/>
      <c r="I24" s="711"/>
      <c r="J24" s="711"/>
      <c r="K24" s="713"/>
      <c r="L24" s="713"/>
      <c r="M24" s="713"/>
      <c r="N24" s="713"/>
      <c r="O24" s="713"/>
      <c r="P24" s="713"/>
      <c r="Q24" s="713"/>
      <c r="R24" s="713"/>
      <c r="S24" s="713"/>
      <c r="T24" s="713"/>
      <c r="U24" s="714"/>
      <c r="V24" s="715">
        <f t="shared" si="83"/>
        <v>55404.9</v>
      </c>
      <c r="W24" s="725">
        <f>AMPOP!G28</f>
        <v>55404.9</v>
      </c>
      <c r="X24" s="713"/>
      <c r="Y24" s="713"/>
      <c r="Z24" s="713"/>
      <c r="AA24" s="713"/>
      <c r="AB24" s="713"/>
      <c r="AC24" s="713"/>
      <c r="AD24" s="713"/>
      <c r="AE24" s="713"/>
      <c r="AF24" s="713"/>
      <c r="AG24" s="713"/>
      <c r="AH24" s="713"/>
      <c r="AI24" s="713"/>
      <c r="AJ24" s="713"/>
      <c r="AK24" s="713"/>
      <c r="AL24" s="716"/>
      <c r="AM24" s="715">
        <f t="shared" si="84"/>
        <v>70764.899999999994</v>
      </c>
      <c r="AN24" s="717">
        <f>AMPOP!H28</f>
        <v>70764.899999999994</v>
      </c>
      <c r="AO24" s="713"/>
      <c r="AP24" s="713"/>
      <c r="AQ24" s="717"/>
      <c r="AR24" s="713"/>
      <c r="AS24" s="713"/>
      <c r="AT24" s="713"/>
      <c r="AU24" s="713"/>
      <c r="AV24" s="713"/>
      <c r="AW24" s="713"/>
      <c r="AX24" s="713"/>
      <c r="AY24" s="713"/>
      <c r="AZ24" s="713"/>
      <c r="BA24" s="713"/>
      <c r="BB24" s="713"/>
      <c r="BC24" s="713"/>
      <c r="BD24" s="716"/>
      <c r="BE24" s="715">
        <f t="shared" si="85"/>
        <v>70764.899999999994</v>
      </c>
      <c r="BF24" s="725">
        <f>AMPOP!I28</f>
        <v>70764.899999999994</v>
      </c>
      <c r="BG24" s="713"/>
      <c r="BH24" s="713"/>
      <c r="BI24" s="725"/>
      <c r="BJ24" s="713"/>
      <c r="BK24" s="713"/>
      <c r="BL24" s="713"/>
      <c r="BM24" s="713"/>
      <c r="BN24" s="713"/>
      <c r="BO24" s="713"/>
      <c r="BP24" s="713"/>
      <c r="BQ24" s="713"/>
      <c r="BR24" s="713"/>
      <c r="BS24" s="713"/>
      <c r="BT24" s="713"/>
      <c r="BU24" s="713"/>
      <c r="BV24" s="716"/>
      <c r="BW24" s="715">
        <f t="shared" si="86"/>
        <v>70764.899999999994</v>
      </c>
      <c r="BX24" s="725">
        <f>AMPOP!J28</f>
        <v>70764.899999999994</v>
      </c>
      <c r="BY24" s="713"/>
      <c r="BZ24" s="713"/>
      <c r="CA24" s="725"/>
      <c r="CB24" s="713"/>
      <c r="CC24" s="713"/>
      <c r="CD24" s="713"/>
      <c r="CE24" s="713"/>
      <c r="CF24" s="713"/>
      <c r="CG24" s="713"/>
      <c r="CH24" s="713"/>
      <c r="CI24" s="713"/>
      <c r="CJ24" s="713"/>
      <c r="CK24" s="713"/>
      <c r="CL24" s="713"/>
      <c r="CM24" s="713"/>
      <c r="CN24" s="716"/>
    </row>
    <row r="25" spans="1:92" s="10" customFormat="1" ht="15">
      <c r="A25" s="192"/>
      <c r="B25" s="230">
        <v>11009</v>
      </c>
      <c r="C25" s="181" t="s">
        <v>264</v>
      </c>
      <c r="D25" s="711">
        <f t="shared" si="82"/>
        <v>15102.2</v>
      </c>
      <c r="E25" s="711">
        <v>15102.2</v>
      </c>
      <c r="F25" s="733"/>
      <c r="G25" s="733"/>
      <c r="H25" s="733"/>
      <c r="I25" s="711"/>
      <c r="J25" s="711"/>
      <c r="K25" s="733"/>
      <c r="L25" s="733"/>
      <c r="M25" s="733"/>
      <c r="N25" s="733"/>
      <c r="O25" s="733"/>
      <c r="P25" s="733"/>
      <c r="Q25" s="733"/>
      <c r="R25" s="733"/>
      <c r="S25" s="733"/>
      <c r="T25" s="733"/>
      <c r="U25" s="734"/>
      <c r="V25" s="715">
        <f t="shared" si="83"/>
        <v>16026.6</v>
      </c>
      <c r="W25" s="725">
        <f>AMPOP!G29</f>
        <v>16026.6</v>
      </c>
      <c r="X25" s="735"/>
      <c r="Y25" s="735"/>
      <c r="Z25" s="735"/>
      <c r="AA25" s="735"/>
      <c r="AB25" s="735"/>
      <c r="AC25" s="735"/>
      <c r="AD25" s="735"/>
      <c r="AE25" s="735"/>
      <c r="AF25" s="735"/>
      <c r="AG25" s="735"/>
      <c r="AH25" s="735"/>
      <c r="AI25" s="735"/>
      <c r="AJ25" s="735"/>
      <c r="AK25" s="735"/>
      <c r="AL25" s="736"/>
      <c r="AM25" s="715">
        <f t="shared" si="84"/>
        <v>16026.6</v>
      </c>
      <c r="AN25" s="717">
        <f>AMPOP!H29</f>
        <v>16026.6</v>
      </c>
      <c r="AO25" s="735"/>
      <c r="AP25" s="735"/>
      <c r="AQ25" s="717"/>
      <c r="AR25" s="735"/>
      <c r="AS25" s="735"/>
      <c r="AT25" s="735"/>
      <c r="AU25" s="735"/>
      <c r="AV25" s="735"/>
      <c r="AW25" s="735"/>
      <c r="AX25" s="735"/>
      <c r="AY25" s="735"/>
      <c r="AZ25" s="735"/>
      <c r="BA25" s="735"/>
      <c r="BB25" s="735"/>
      <c r="BC25" s="735"/>
      <c r="BD25" s="736"/>
      <c r="BE25" s="715">
        <f t="shared" si="85"/>
        <v>16026.6</v>
      </c>
      <c r="BF25" s="725">
        <f>AMPOP!I29</f>
        <v>16026.6</v>
      </c>
      <c r="BG25" s="733"/>
      <c r="BH25" s="733"/>
      <c r="BI25" s="725"/>
      <c r="BJ25" s="733"/>
      <c r="BK25" s="733"/>
      <c r="BL25" s="733"/>
      <c r="BM25" s="733"/>
      <c r="BN25" s="733"/>
      <c r="BO25" s="733"/>
      <c r="BP25" s="733"/>
      <c r="BQ25" s="733"/>
      <c r="BR25" s="733"/>
      <c r="BS25" s="733"/>
      <c r="BT25" s="733"/>
      <c r="BU25" s="733"/>
      <c r="BV25" s="737"/>
      <c r="BW25" s="715">
        <f t="shared" si="86"/>
        <v>16026.6</v>
      </c>
      <c r="BX25" s="725">
        <f>AMPOP!J29</f>
        <v>16026.6</v>
      </c>
      <c r="BY25" s="733"/>
      <c r="BZ25" s="733"/>
      <c r="CA25" s="725"/>
      <c r="CB25" s="733"/>
      <c r="CC25" s="733"/>
      <c r="CD25" s="733"/>
      <c r="CE25" s="733"/>
      <c r="CF25" s="733"/>
      <c r="CG25" s="733"/>
      <c r="CH25" s="733"/>
      <c r="CI25" s="733"/>
      <c r="CJ25" s="733"/>
      <c r="CK25" s="733"/>
      <c r="CL25" s="733"/>
      <c r="CM25" s="733"/>
      <c r="CN25" s="737"/>
    </row>
    <row r="26" spans="1:92" s="3" customFormat="1" ht="40.5" customHeight="1">
      <c r="A26" s="193"/>
      <c r="B26" s="229">
        <v>11010</v>
      </c>
      <c r="C26" s="179" t="s">
        <v>245</v>
      </c>
      <c r="D26" s="711">
        <f t="shared" si="82"/>
        <v>201288.2</v>
      </c>
      <c r="E26" s="711">
        <v>201288.2</v>
      </c>
      <c r="F26" s="713"/>
      <c r="G26" s="713"/>
      <c r="H26" s="713"/>
      <c r="I26" s="711"/>
      <c r="J26" s="711"/>
      <c r="K26" s="713"/>
      <c r="L26" s="713"/>
      <c r="M26" s="713"/>
      <c r="N26" s="713"/>
      <c r="O26" s="713"/>
      <c r="P26" s="713"/>
      <c r="Q26" s="713"/>
      <c r="R26" s="713"/>
      <c r="S26" s="713"/>
      <c r="T26" s="713"/>
      <c r="U26" s="714"/>
      <c r="V26" s="715">
        <f t="shared" si="83"/>
        <v>169524.2</v>
      </c>
      <c r="W26" s="725">
        <f>AMPOP!G30</f>
        <v>169524.2</v>
      </c>
      <c r="X26" s="713"/>
      <c r="Y26" s="713"/>
      <c r="Z26" s="713"/>
      <c r="AA26" s="713"/>
      <c r="AB26" s="713"/>
      <c r="AC26" s="713"/>
      <c r="AD26" s="713"/>
      <c r="AE26" s="713"/>
      <c r="AF26" s="713"/>
      <c r="AG26" s="713"/>
      <c r="AH26" s="713"/>
      <c r="AI26" s="713"/>
      <c r="AJ26" s="713"/>
      <c r="AK26" s="713"/>
      <c r="AL26" s="716"/>
      <c r="AM26" s="715">
        <f t="shared" si="84"/>
        <v>169524.2</v>
      </c>
      <c r="AN26" s="717">
        <f>AMPOP!H30</f>
        <v>169524.2</v>
      </c>
      <c r="AO26" s="713"/>
      <c r="AP26" s="713"/>
      <c r="AQ26" s="717"/>
      <c r="AR26" s="713"/>
      <c r="AS26" s="713"/>
      <c r="AT26" s="713"/>
      <c r="AU26" s="713"/>
      <c r="AV26" s="713"/>
      <c r="AW26" s="713"/>
      <c r="AX26" s="713"/>
      <c r="AY26" s="713"/>
      <c r="AZ26" s="713"/>
      <c r="BA26" s="713"/>
      <c r="BB26" s="713"/>
      <c r="BC26" s="713"/>
      <c r="BD26" s="716"/>
      <c r="BE26" s="715">
        <f t="shared" si="85"/>
        <v>169524.2</v>
      </c>
      <c r="BF26" s="725">
        <f>AMPOP!I30</f>
        <v>169524.2</v>
      </c>
      <c r="BG26" s="713"/>
      <c r="BH26" s="713"/>
      <c r="BI26" s="725"/>
      <c r="BJ26" s="713"/>
      <c r="BK26" s="713"/>
      <c r="BL26" s="713"/>
      <c r="BM26" s="713"/>
      <c r="BN26" s="713"/>
      <c r="BO26" s="713"/>
      <c r="BP26" s="713"/>
      <c r="BQ26" s="713"/>
      <c r="BR26" s="713"/>
      <c r="BS26" s="713"/>
      <c r="BT26" s="713"/>
      <c r="BU26" s="713"/>
      <c r="BV26" s="716"/>
      <c r="BW26" s="715">
        <f t="shared" si="86"/>
        <v>169524.2</v>
      </c>
      <c r="BX26" s="725">
        <f>AMPOP!J30</f>
        <v>169524.2</v>
      </c>
      <c r="BY26" s="713"/>
      <c r="BZ26" s="713"/>
      <c r="CA26" s="725"/>
      <c r="CB26" s="713"/>
      <c r="CC26" s="713"/>
      <c r="CD26" s="713"/>
      <c r="CE26" s="713"/>
      <c r="CF26" s="713"/>
      <c r="CG26" s="713"/>
      <c r="CH26" s="713"/>
      <c r="CI26" s="713"/>
      <c r="CJ26" s="713"/>
      <c r="CK26" s="713"/>
      <c r="CL26" s="713"/>
      <c r="CM26" s="713"/>
      <c r="CN26" s="716"/>
    </row>
    <row r="27" spans="1:92" ht="27">
      <c r="A27" s="193"/>
      <c r="B27" s="229">
        <v>12001</v>
      </c>
      <c r="C27" s="177" t="s">
        <v>19</v>
      </c>
      <c r="D27" s="711">
        <f t="shared" si="82"/>
        <v>7000</v>
      </c>
      <c r="E27" s="728"/>
      <c r="F27" s="728"/>
      <c r="G27" s="728"/>
      <c r="H27" s="728"/>
      <c r="I27" s="711"/>
      <c r="J27" s="711">
        <v>7000</v>
      </c>
      <c r="K27" s="728"/>
      <c r="L27" s="728"/>
      <c r="M27" s="728"/>
      <c r="N27" s="728"/>
      <c r="O27" s="729"/>
      <c r="P27" s="729"/>
      <c r="Q27" s="729"/>
      <c r="R27" s="729"/>
      <c r="S27" s="729"/>
      <c r="T27" s="729"/>
      <c r="U27" s="730"/>
      <c r="V27" s="715">
        <f t="shared" ref="V27:V42" si="87">SUM(W27:AL27)</f>
        <v>7000</v>
      </c>
      <c r="W27" s="728"/>
      <c r="X27" s="731"/>
      <c r="Y27" s="731"/>
      <c r="Z27" s="731"/>
      <c r="AA27" s="731">
        <f>AMPOP!G31</f>
        <v>7000</v>
      </c>
      <c r="AB27" s="731"/>
      <c r="AC27" s="731"/>
      <c r="AD27" s="731"/>
      <c r="AE27" s="731"/>
      <c r="AF27" s="729"/>
      <c r="AG27" s="729"/>
      <c r="AH27" s="729"/>
      <c r="AI27" s="729"/>
      <c r="AJ27" s="729"/>
      <c r="AK27" s="729"/>
      <c r="AL27" s="732"/>
      <c r="AM27" s="715">
        <f t="shared" ref="AM27:AM29" si="88">SUM(AN27:BD27)</f>
        <v>7000</v>
      </c>
      <c r="AN27" s="731"/>
      <c r="AO27" s="731"/>
      <c r="AP27" s="731"/>
      <c r="AQ27" s="717">
        <f>AMPOP!H31</f>
        <v>7000</v>
      </c>
      <c r="AR27" s="731">
        <f>AMPOP!X31</f>
        <v>0</v>
      </c>
      <c r="AS27" s="731"/>
      <c r="AT27" s="731"/>
      <c r="AU27" s="731"/>
      <c r="AV27" s="731"/>
      <c r="AW27" s="731"/>
      <c r="AX27" s="729"/>
      <c r="AY27" s="729"/>
      <c r="AZ27" s="729"/>
      <c r="BA27" s="729"/>
      <c r="BB27" s="729"/>
      <c r="BC27" s="729"/>
      <c r="BD27" s="732"/>
      <c r="BE27" s="715">
        <f t="shared" si="85"/>
        <v>7000</v>
      </c>
      <c r="BF27" s="728"/>
      <c r="BG27" s="728"/>
      <c r="BH27" s="728"/>
      <c r="BI27" s="725"/>
      <c r="BJ27" s="728">
        <f>AMPOP!I31</f>
        <v>7000</v>
      </c>
      <c r="BK27" s="728"/>
      <c r="BL27" s="728"/>
      <c r="BM27" s="728"/>
      <c r="BN27" s="728"/>
      <c r="BO27" s="728"/>
      <c r="BP27" s="729"/>
      <c r="BQ27" s="729"/>
      <c r="BR27" s="729"/>
      <c r="BS27" s="729"/>
      <c r="BT27" s="729"/>
      <c r="BU27" s="729"/>
      <c r="BV27" s="732"/>
      <c r="BW27" s="715">
        <f t="shared" si="86"/>
        <v>7000</v>
      </c>
      <c r="BX27" s="728"/>
      <c r="BY27" s="728"/>
      <c r="BZ27" s="728"/>
      <c r="CA27" s="725"/>
      <c r="CB27" s="728">
        <f>AMPOP!J31</f>
        <v>7000</v>
      </c>
      <c r="CC27" s="728"/>
      <c r="CD27" s="728"/>
      <c r="CE27" s="728"/>
      <c r="CF27" s="728"/>
      <c r="CG27" s="728"/>
      <c r="CH27" s="729"/>
      <c r="CI27" s="729"/>
      <c r="CJ27" s="729"/>
      <c r="CK27" s="729"/>
      <c r="CL27" s="729"/>
      <c r="CM27" s="729"/>
      <c r="CN27" s="732"/>
    </row>
    <row r="28" spans="1:92" ht="40.5" customHeight="1">
      <c r="A28" s="193"/>
      <c r="B28" s="229">
        <v>12002</v>
      </c>
      <c r="C28" s="179" t="s">
        <v>246</v>
      </c>
      <c r="D28" s="711">
        <f t="shared" si="82"/>
        <v>0</v>
      </c>
      <c r="E28" s="728"/>
      <c r="F28" s="728"/>
      <c r="G28" s="728"/>
      <c r="H28" s="728"/>
      <c r="I28" s="728"/>
      <c r="J28" s="728"/>
      <c r="K28" s="728"/>
      <c r="L28" s="728"/>
      <c r="M28" s="728"/>
      <c r="N28" s="728"/>
      <c r="O28" s="729"/>
      <c r="P28" s="729"/>
      <c r="Q28" s="729"/>
      <c r="R28" s="729"/>
      <c r="S28" s="729"/>
      <c r="T28" s="729"/>
      <c r="U28" s="730"/>
      <c r="V28" s="715">
        <f t="shared" si="87"/>
        <v>493680</v>
      </c>
      <c r="W28" s="728"/>
      <c r="X28" s="731"/>
      <c r="Y28" s="731"/>
      <c r="Z28" s="731"/>
      <c r="AA28" s="731">
        <f>AMPOP!G32</f>
        <v>493680</v>
      </c>
      <c r="AB28" s="731"/>
      <c r="AC28" s="731"/>
      <c r="AD28" s="731"/>
      <c r="AE28" s="731"/>
      <c r="AF28" s="729"/>
      <c r="AG28" s="729"/>
      <c r="AH28" s="729"/>
      <c r="AI28" s="729"/>
      <c r="AJ28" s="729"/>
      <c r="AK28" s="729"/>
      <c r="AL28" s="732"/>
      <c r="AM28" s="715">
        <f t="shared" si="88"/>
        <v>516632.78</v>
      </c>
      <c r="AN28" s="731"/>
      <c r="AO28" s="731"/>
      <c r="AP28" s="731"/>
      <c r="AQ28" s="731"/>
      <c r="AR28" s="731">
        <f>AMPOP!H32</f>
        <v>516632.78</v>
      </c>
      <c r="AS28" s="731"/>
      <c r="AT28" s="731"/>
      <c r="AU28" s="731"/>
      <c r="AV28" s="731"/>
      <c r="AW28" s="731"/>
      <c r="AX28" s="729"/>
      <c r="AY28" s="729"/>
      <c r="AZ28" s="729"/>
      <c r="BA28" s="729"/>
      <c r="BB28" s="729"/>
      <c r="BC28" s="729"/>
      <c r="BD28" s="732"/>
      <c r="BE28" s="715">
        <f t="shared" si="85"/>
        <v>0</v>
      </c>
      <c r="BF28" s="728"/>
      <c r="BG28" s="728"/>
      <c r="BH28" s="728"/>
      <c r="BI28" s="728"/>
      <c r="BJ28" s="728">
        <f>AMPOP!I32</f>
        <v>0</v>
      </c>
      <c r="BK28" s="728"/>
      <c r="BL28" s="728"/>
      <c r="BM28" s="728"/>
      <c r="BN28" s="728"/>
      <c r="BO28" s="728"/>
      <c r="BP28" s="729"/>
      <c r="BQ28" s="729"/>
      <c r="BR28" s="729"/>
      <c r="BS28" s="729"/>
      <c r="BT28" s="729"/>
      <c r="BU28" s="729"/>
      <c r="BV28" s="732"/>
      <c r="BW28" s="715">
        <f t="shared" si="86"/>
        <v>0</v>
      </c>
      <c r="BX28" s="728"/>
      <c r="BY28" s="728"/>
      <c r="BZ28" s="728"/>
      <c r="CA28" s="728"/>
      <c r="CB28" s="728">
        <f>AMPOP!J32</f>
        <v>0</v>
      </c>
      <c r="CC28" s="728"/>
      <c r="CD28" s="728"/>
      <c r="CE28" s="728"/>
      <c r="CF28" s="728"/>
      <c r="CG28" s="728"/>
      <c r="CH28" s="729"/>
      <c r="CI28" s="729"/>
      <c r="CJ28" s="729"/>
      <c r="CK28" s="729"/>
      <c r="CL28" s="729"/>
      <c r="CM28" s="729"/>
      <c r="CN28" s="732"/>
    </row>
    <row r="29" spans="1:92" ht="40.5" customHeight="1">
      <c r="A29" s="194"/>
      <c r="B29" s="229">
        <v>32001</v>
      </c>
      <c r="C29" s="182" t="s">
        <v>275</v>
      </c>
      <c r="D29" s="711">
        <f t="shared" si="82"/>
        <v>2994.5</v>
      </c>
      <c r="E29" s="728"/>
      <c r="F29" s="728"/>
      <c r="G29" s="728"/>
      <c r="H29" s="728"/>
      <c r="I29" s="728"/>
      <c r="J29" s="728"/>
      <c r="K29" s="728"/>
      <c r="L29" s="728"/>
      <c r="M29" s="728"/>
      <c r="N29" s="728"/>
      <c r="O29" s="729"/>
      <c r="P29" s="729"/>
      <c r="Q29" s="738">
        <v>760</v>
      </c>
      <c r="R29" s="738">
        <v>2234.5</v>
      </c>
      <c r="S29" s="729"/>
      <c r="T29" s="729"/>
      <c r="U29" s="730"/>
      <c r="V29" s="715">
        <f t="shared" si="87"/>
        <v>669537.69999999995</v>
      </c>
      <c r="W29" s="728"/>
      <c r="X29" s="731"/>
      <c r="Y29" s="731"/>
      <c r="Z29" s="731"/>
      <c r="AA29" s="731"/>
      <c r="AB29" s="739">
        <v>58771.4</v>
      </c>
      <c r="AC29" s="739">
        <v>37646.400000000001</v>
      </c>
      <c r="AD29" s="731"/>
      <c r="AE29" s="739">
        <v>271863.59999999998</v>
      </c>
      <c r="AF29" s="729"/>
      <c r="AG29" s="729"/>
      <c r="AH29" s="739">
        <v>301256.3</v>
      </c>
      <c r="AI29" s="738"/>
      <c r="AJ29" s="729"/>
      <c r="AK29" s="729"/>
      <c r="AL29" s="732"/>
      <c r="AM29" s="715">
        <f t="shared" si="88"/>
        <v>994786.12000000011</v>
      </c>
      <c r="AN29" s="731"/>
      <c r="AO29" s="731"/>
      <c r="AP29" s="731"/>
      <c r="AQ29" s="731"/>
      <c r="AR29" s="731"/>
      <c r="AS29" s="739">
        <f>'N 9-1'!V24</f>
        <v>68428.600000000006</v>
      </c>
      <c r="AT29" s="739">
        <f>'N 9-1'!V25</f>
        <v>57753.599999999999</v>
      </c>
      <c r="AU29" s="731"/>
      <c r="AV29" s="739">
        <f>'N 9-1'!V18</f>
        <v>16800</v>
      </c>
      <c r="AW29" s="739">
        <f>'N 9-1'!V19</f>
        <v>269699.20000000001</v>
      </c>
      <c r="AX29" s="729">
        <f>'N 9-1'!V20</f>
        <v>62637.2</v>
      </c>
      <c r="AY29" s="729">
        <f>'N 9-1'!V21</f>
        <v>87570.3</v>
      </c>
      <c r="AZ29" s="739">
        <f>'N 9-1'!V22</f>
        <v>11042.399999999996</v>
      </c>
      <c r="BA29" s="738">
        <f>'N 9-1'!V23</f>
        <v>420854.82000000007</v>
      </c>
      <c r="BB29" s="729"/>
      <c r="BC29" s="729"/>
      <c r="BD29" s="732"/>
      <c r="BE29" s="715">
        <f t="shared" si="85"/>
        <v>0</v>
      </c>
      <c r="BF29" s="728"/>
      <c r="BG29" s="728"/>
      <c r="BH29" s="728"/>
      <c r="BI29" s="728"/>
      <c r="BJ29" s="728"/>
      <c r="BK29" s="739"/>
      <c r="BL29" s="739"/>
      <c r="BM29" s="728"/>
      <c r="BN29" s="739"/>
      <c r="BO29" s="739"/>
      <c r="BP29" s="729"/>
      <c r="BQ29" s="729"/>
      <c r="BR29" s="739"/>
      <c r="BS29" s="738"/>
      <c r="BT29" s="729"/>
      <c r="BU29" s="729"/>
      <c r="BV29" s="732"/>
      <c r="BW29" s="715">
        <f t="shared" si="86"/>
        <v>0</v>
      </c>
      <c r="BX29" s="728"/>
      <c r="BY29" s="728"/>
      <c r="BZ29" s="728"/>
      <c r="CA29" s="728"/>
      <c r="CB29" s="728"/>
      <c r="CC29" s="739"/>
      <c r="CD29" s="739"/>
      <c r="CE29" s="728"/>
      <c r="CF29" s="739"/>
      <c r="CG29" s="739"/>
      <c r="CH29" s="729"/>
      <c r="CI29" s="729"/>
      <c r="CJ29" s="739"/>
      <c r="CK29" s="738"/>
      <c r="CL29" s="729"/>
      <c r="CM29" s="729"/>
      <c r="CN29" s="732"/>
    </row>
    <row r="30" spans="1:92" s="15" customFormat="1" ht="29.25" customHeight="1">
      <c r="A30" s="188" t="s">
        <v>247</v>
      </c>
      <c r="B30" s="223"/>
      <c r="C30" s="185" t="s">
        <v>248</v>
      </c>
      <c r="D30" s="706">
        <f>D31+D32+D33+D34+D35+D36+D37+D38+D39</f>
        <v>1762448.7999999998</v>
      </c>
      <c r="E30" s="707">
        <f t="shared" ref="E30:U30" si="89">E31+E32+E33+E34+E35+E36+E37+E38+E39</f>
        <v>1219950.2</v>
      </c>
      <c r="F30" s="707">
        <f t="shared" si="89"/>
        <v>346308.2</v>
      </c>
      <c r="G30" s="707">
        <f t="shared" si="89"/>
        <v>0</v>
      </c>
      <c r="H30" s="707">
        <f t="shared" si="89"/>
        <v>0</v>
      </c>
      <c r="I30" s="707">
        <f t="shared" si="89"/>
        <v>0</v>
      </c>
      <c r="J30" s="707">
        <f t="shared" si="89"/>
        <v>0</v>
      </c>
      <c r="K30" s="707">
        <f t="shared" si="89"/>
        <v>0</v>
      </c>
      <c r="L30" s="707">
        <f t="shared" si="89"/>
        <v>0</v>
      </c>
      <c r="M30" s="707">
        <f t="shared" si="89"/>
        <v>0</v>
      </c>
      <c r="N30" s="707">
        <f t="shared" si="89"/>
        <v>0</v>
      </c>
      <c r="O30" s="707">
        <f t="shared" si="89"/>
        <v>0</v>
      </c>
      <c r="P30" s="707">
        <f t="shared" si="89"/>
        <v>0</v>
      </c>
      <c r="Q30" s="707">
        <f t="shared" ref="Q30:R30" si="90">Q31+Q32+Q33+Q34+Q35+Q36+Q37+Q38+Q39</f>
        <v>3499.5</v>
      </c>
      <c r="R30" s="707">
        <f t="shared" si="90"/>
        <v>0</v>
      </c>
      <c r="S30" s="707">
        <f t="shared" si="89"/>
        <v>0</v>
      </c>
      <c r="T30" s="707">
        <f t="shared" si="89"/>
        <v>10422</v>
      </c>
      <c r="U30" s="708">
        <f t="shared" si="89"/>
        <v>11975.7</v>
      </c>
      <c r="V30" s="709">
        <f>V31+V32+V33+V34+V35+V36+V37+V38+V39</f>
        <v>2302948.3999999994</v>
      </c>
      <c r="W30" s="707">
        <f t="shared" ref="W30:AL30" si="91">W31+W32+W33+W34+W35+W36+W37+W38+W39</f>
        <v>1388811.7</v>
      </c>
      <c r="X30" s="707">
        <f t="shared" si="91"/>
        <v>0</v>
      </c>
      <c r="Y30" s="707">
        <f t="shared" si="91"/>
        <v>0</v>
      </c>
      <c r="Z30" s="707">
        <f t="shared" si="91"/>
        <v>0</v>
      </c>
      <c r="AA30" s="707">
        <f t="shared" si="91"/>
        <v>0</v>
      </c>
      <c r="AB30" s="707">
        <f t="shared" si="91"/>
        <v>0</v>
      </c>
      <c r="AC30" s="707">
        <f t="shared" si="91"/>
        <v>125733.3</v>
      </c>
      <c r="AD30" s="707">
        <f t="shared" si="91"/>
        <v>413781.5</v>
      </c>
      <c r="AE30" s="707">
        <f t="shared" si="91"/>
        <v>0</v>
      </c>
      <c r="AF30" s="707">
        <f t="shared" si="91"/>
        <v>61126</v>
      </c>
      <c r="AG30" s="707">
        <f t="shared" si="91"/>
        <v>0</v>
      </c>
      <c r="AH30" s="707">
        <f t="shared" si="91"/>
        <v>3552.8</v>
      </c>
      <c r="AI30" s="707">
        <f t="shared" si="91"/>
        <v>0</v>
      </c>
      <c r="AJ30" s="707">
        <f t="shared" si="91"/>
        <v>0</v>
      </c>
      <c r="AK30" s="707">
        <f t="shared" si="91"/>
        <v>43710.9</v>
      </c>
      <c r="AL30" s="710">
        <f t="shared" si="91"/>
        <v>15000</v>
      </c>
      <c r="AM30" s="709">
        <f>AM31+AM32+AM33+AM34+AM35+AM36+AM37+AM38+AM39</f>
        <v>4825202.8397615999</v>
      </c>
      <c r="AN30" s="707">
        <f t="shared" ref="AN30" si="92">AN31+AN32+AN33+AN34+AN35+AN36+AN37+AN38+AN39</f>
        <v>1903676</v>
      </c>
      <c r="AO30" s="707">
        <f t="shared" ref="AO30" si="93">AO31+AO32+AO33+AO34+AO35+AO36+AO37+AO38+AO39</f>
        <v>0</v>
      </c>
      <c r="AP30" s="707">
        <f t="shared" ref="AP30" si="94">AP31+AP32+AP33+AP34+AP35+AP36+AP37+AP38+AP39</f>
        <v>0</v>
      </c>
      <c r="AQ30" s="707">
        <f t="shared" ref="AQ30" si="95">AQ31+AQ32+AQ33+AQ34+AQ35+AQ36+AQ37+AQ38+AQ39</f>
        <v>0</v>
      </c>
      <c r="AR30" s="707">
        <f t="shared" ref="AR30" si="96">AR31+AR32+AR33+AR34+AR35+AR36+AR37+AR38+AR39</f>
        <v>0</v>
      </c>
      <c r="AS30" s="707">
        <f t="shared" ref="AS30" si="97">AS31+AS32+AS33+AS34+AS35+AS36+AS37+AS38+AS39</f>
        <v>0</v>
      </c>
      <c r="AT30" s="707">
        <f t="shared" ref="AT30" si="98">AT31+AT32+AT33+AT34+AT35+AT36+AT37+AT38+AT39</f>
        <v>192927.1</v>
      </c>
      <c r="AU30" s="707">
        <f t="shared" ref="AU30" si="99">AU31+AU32+AU33+AU34+AU35+AU36+AU37+AU38+AU39</f>
        <v>2381608.7000000002</v>
      </c>
      <c r="AV30" s="707">
        <f t="shared" ref="AV30" si="100">AV31+AV32+AV33+AV34+AV35+AV36+AV37+AV38+AV39</f>
        <v>0</v>
      </c>
      <c r="AW30" s="707"/>
      <c r="AX30" s="707">
        <f t="shared" ref="AX30" si="101">AX31+AX32+AX33+AX34+AX35+AX36+AX37+AX38+AX39</f>
        <v>0</v>
      </c>
      <c r="AY30" s="707">
        <f t="shared" ref="AY30" si="102">AY31+AY32+AY33+AY34+AY35+AY36+AY37+AY38+AY39</f>
        <v>0</v>
      </c>
      <c r="AZ30" s="707">
        <f t="shared" ref="AZ30" si="103">AZ31+AZ32+AZ33+AZ34+AZ35+AZ36+AZ37+AZ38+AZ39</f>
        <v>0</v>
      </c>
      <c r="BA30" s="707">
        <f t="shared" ref="BA30" si="104">BA31+BA32+BA33+BA34+BA35+BA36+BA37+BA38+BA39</f>
        <v>0</v>
      </c>
      <c r="BB30" s="707">
        <f t="shared" ref="BB30" si="105">BB31+BB32+BB33+BB34+BB35+BB36+BB37+BB38+BB39</f>
        <v>48800</v>
      </c>
      <c r="BC30" s="707">
        <f t="shared" ref="BC30" si="106">BC31+BC32+BC33+BC34+BC35+BC36+BC37+BC38+BC39</f>
        <v>28000</v>
      </c>
      <c r="BD30" s="710">
        <f t="shared" ref="BD30" si="107">BD31+BD32+BD33+BD34+BD35+BD36+BD37+BD38+BD39</f>
        <v>15000</v>
      </c>
      <c r="BE30" s="709">
        <f>BE31+BE32+BE33+BE34+BE35+BE36+BE37+BE38+BE39</f>
        <v>4908135.9665561598</v>
      </c>
      <c r="BF30" s="707">
        <f t="shared" ref="BF30:BN30" si="108">BF31+BF32+BF33+BF34+BF35+BF36+BF37+BF38+BF39</f>
        <v>1903676</v>
      </c>
      <c r="BG30" s="707">
        <f t="shared" si="108"/>
        <v>0</v>
      </c>
      <c r="BH30" s="707">
        <f t="shared" si="108"/>
        <v>0</v>
      </c>
      <c r="BI30" s="707">
        <f t="shared" si="108"/>
        <v>0</v>
      </c>
      <c r="BJ30" s="707">
        <f t="shared" si="108"/>
        <v>0</v>
      </c>
      <c r="BK30" s="707">
        <f t="shared" si="108"/>
        <v>0</v>
      </c>
      <c r="BL30" s="707">
        <f t="shared" si="108"/>
        <v>250826.4</v>
      </c>
      <c r="BM30" s="707">
        <f t="shared" si="108"/>
        <v>2405032.7999999998</v>
      </c>
      <c r="BN30" s="707">
        <f t="shared" si="108"/>
        <v>0</v>
      </c>
      <c r="BO30" s="707"/>
      <c r="BP30" s="707">
        <f t="shared" ref="BP30:BV30" si="109">BP31+BP32+BP33+BP34+BP35+BP36+BP37+BP38+BP39</f>
        <v>0</v>
      </c>
      <c r="BQ30" s="707">
        <f t="shared" si="109"/>
        <v>0</v>
      </c>
      <c r="BR30" s="707">
        <f t="shared" si="109"/>
        <v>0</v>
      </c>
      <c r="BS30" s="707">
        <f t="shared" si="109"/>
        <v>0</v>
      </c>
      <c r="BT30" s="707">
        <f t="shared" si="109"/>
        <v>48800</v>
      </c>
      <c r="BU30" s="707">
        <f t="shared" si="109"/>
        <v>28000</v>
      </c>
      <c r="BV30" s="710">
        <f t="shared" si="109"/>
        <v>15000</v>
      </c>
      <c r="BW30" s="709">
        <f>BW31+BW32+BW33+BW34+BW35+BW36+BW37+BW38+BW39</f>
        <v>4754311.3229616005</v>
      </c>
      <c r="BX30" s="707">
        <f t="shared" ref="BX30:CF30" si="110">BX31+BX32+BX33+BX34+BX35+BX36+BX37+BX38+BX39</f>
        <v>1903676</v>
      </c>
      <c r="BY30" s="707">
        <f t="shared" si="110"/>
        <v>0</v>
      </c>
      <c r="BZ30" s="707">
        <f t="shared" si="110"/>
        <v>0</v>
      </c>
      <c r="CA30" s="707">
        <f t="shared" si="110"/>
        <v>0</v>
      </c>
      <c r="CB30" s="707">
        <f t="shared" si="110"/>
        <v>0</v>
      </c>
      <c r="CC30" s="707">
        <f t="shared" si="110"/>
        <v>0</v>
      </c>
      <c r="CD30" s="707">
        <f t="shared" si="110"/>
        <v>251386.9</v>
      </c>
      <c r="CE30" s="707">
        <f t="shared" si="110"/>
        <v>2248867.9</v>
      </c>
      <c r="CF30" s="707">
        <f t="shared" si="110"/>
        <v>0</v>
      </c>
      <c r="CG30" s="707"/>
      <c r="CH30" s="707">
        <f t="shared" ref="CH30:CN30" si="111">CH31+CH32+CH33+CH34+CH35+CH36+CH37+CH38+CH39</f>
        <v>0</v>
      </c>
      <c r="CI30" s="707">
        <f t="shared" si="111"/>
        <v>0</v>
      </c>
      <c r="CJ30" s="707">
        <f t="shared" si="111"/>
        <v>0</v>
      </c>
      <c r="CK30" s="707">
        <f t="shared" si="111"/>
        <v>0</v>
      </c>
      <c r="CL30" s="707">
        <f t="shared" si="111"/>
        <v>48800</v>
      </c>
      <c r="CM30" s="707">
        <f t="shared" si="111"/>
        <v>28000</v>
      </c>
      <c r="CN30" s="710">
        <f t="shared" si="111"/>
        <v>15000</v>
      </c>
    </row>
    <row r="31" spans="1:92" s="10" customFormat="1" ht="40.5" customHeight="1">
      <c r="A31" s="195"/>
      <c r="B31" s="231">
        <v>11001</v>
      </c>
      <c r="C31" s="181" t="s">
        <v>249</v>
      </c>
      <c r="D31" s="740">
        <v>170293.2</v>
      </c>
      <c r="E31" s="728"/>
      <c r="F31" s="728"/>
      <c r="G31" s="728"/>
      <c r="H31" s="728"/>
      <c r="I31" s="728"/>
      <c r="J31" s="728"/>
      <c r="K31" s="728"/>
      <c r="L31" s="728"/>
      <c r="M31" s="728"/>
      <c r="N31" s="728"/>
      <c r="O31" s="729"/>
      <c r="P31" s="729"/>
      <c r="Q31" s="729"/>
      <c r="R31" s="729"/>
      <c r="S31" s="729"/>
      <c r="T31" s="729"/>
      <c r="U31" s="730"/>
      <c r="V31" s="715">
        <f>AMPOP!G35</f>
        <v>251232.2</v>
      </c>
      <c r="W31" s="728"/>
      <c r="X31" s="731"/>
      <c r="Y31" s="731"/>
      <c r="Z31" s="731"/>
      <c r="AA31" s="731"/>
      <c r="AB31" s="731"/>
      <c r="AC31" s="731"/>
      <c r="AD31" s="731"/>
      <c r="AE31" s="731"/>
      <c r="AF31" s="729"/>
      <c r="AG31" s="729"/>
      <c r="AH31" s="729"/>
      <c r="AI31" s="729"/>
      <c r="AJ31" s="729"/>
      <c r="AK31" s="729"/>
      <c r="AL31" s="732"/>
      <c r="AM31" s="715">
        <f>AMPOP!H35</f>
        <v>255191.03976159997</v>
      </c>
      <c r="AN31" s="731"/>
      <c r="AO31" s="731"/>
      <c r="AP31" s="731"/>
      <c r="AQ31" s="731"/>
      <c r="AR31" s="731"/>
      <c r="AS31" s="731"/>
      <c r="AT31" s="731"/>
      <c r="AU31" s="731"/>
      <c r="AV31" s="731"/>
      <c r="AW31" s="731"/>
      <c r="AX31" s="729"/>
      <c r="AY31" s="729"/>
      <c r="AZ31" s="729"/>
      <c r="BA31" s="729"/>
      <c r="BB31" s="729"/>
      <c r="BC31" s="729"/>
      <c r="BD31" s="732"/>
      <c r="BE31" s="715">
        <f>AMPOP!I35</f>
        <v>256800.76655616</v>
      </c>
      <c r="BF31" s="728"/>
      <c r="BG31" s="728"/>
      <c r="BH31" s="728"/>
      <c r="BI31" s="728"/>
      <c r="BJ31" s="728"/>
      <c r="BK31" s="728"/>
      <c r="BL31" s="728"/>
      <c r="BM31" s="728"/>
      <c r="BN31" s="728"/>
      <c r="BO31" s="728"/>
      <c r="BP31" s="729"/>
      <c r="BQ31" s="729"/>
      <c r="BR31" s="729"/>
      <c r="BS31" s="729"/>
      <c r="BT31" s="729"/>
      <c r="BU31" s="729"/>
      <c r="BV31" s="732"/>
      <c r="BW31" s="715">
        <f>AMPOP!J35</f>
        <v>258580.52296159993</v>
      </c>
      <c r="BX31" s="728"/>
      <c r="BY31" s="728"/>
      <c r="BZ31" s="728"/>
      <c r="CA31" s="728"/>
      <c r="CB31" s="728"/>
      <c r="CC31" s="728"/>
      <c r="CD31" s="728"/>
      <c r="CE31" s="728"/>
      <c r="CF31" s="728"/>
      <c r="CG31" s="728"/>
      <c r="CH31" s="729"/>
      <c r="CI31" s="729"/>
      <c r="CJ31" s="729"/>
      <c r="CK31" s="729"/>
      <c r="CL31" s="729"/>
      <c r="CM31" s="729"/>
      <c r="CN31" s="732"/>
    </row>
    <row r="32" spans="1:92" s="10" customFormat="1" ht="15">
      <c r="A32" s="196"/>
      <c r="B32" s="227">
        <v>11002</v>
      </c>
      <c r="C32" s="179" t="s">
        <v>28</v>
      </c>
      <c r="D32" s="711">
        <f t="shared" ref="D32:D39" si="112">SUM(E32:U32)</f>
        <v>1170656.3</v>
      </c>
      <c r="E32" s="728">
        <v>1170656.3</v>
      </c>
      <c r="F32" s="728"/>
      <c r="G32" s="728"/>
      <c r="H32" s="728"/>
      <c r="I32" s="728"/>
      <c r="J32" s="728"/>
      <c r="K32" s="728"/>
      <c r="L32" s="728"/>
      <c r="M32" s="728"/>
      <c r="N32" s="728"/>
      <c r="O32" s="729"/>
      <c r="P32" s="729"/>
      <c r="Q32" s="729"/>
      <c r="R32" s="729"/>
      <c r="S32" s="729"/>
      <c r="T32" s="729"/>
      <c r="U32" s="730"/>
      <c r="V32" s="715">
        <f t="shared" si="87"/>
        <v>1335485.8999999999</v>
      </c>
      <c r="W32" s="728">
        <f>AMPOP!G36</f>
        <v>1335485.8999999999</v>
      </c>
      <c r="X32" s="731"/>
      <c r="Y32" s="731"/>
      <c r="Z32" s="731"/>
      <c r="AA32" s="731"/>
      <c r="AB32" s="731"/>
      <c r="AC32" s="731"/>
      <c r="AD32" s="731"/>
      <c r="AE32" s="731"/>
      <c r="AF32" s="729"/>
      <c r="AG32" s="729"/>
      <c r="AH32" s="729"/>
      <c r="AI32" s="729"/>
      <c r="AJ32" s="729"/>
      <c r="AK32" s="729"/>
      <c r="AL32" s="732"/>
      <c r="AM32" s="715">
        <f t="shared" ref="AM32:AM39" si="113">SUM(AN32:BD32)</f>
        <v>1850350.2</v>
      </c>
      <c r="AN32" s="741">
        <f>AMPOP!H36</f>
        <v>1850350.2</v>
      </c>
      <c r="AO32" s="731"/>
      <c r="AP32" s="731"/>
      <c r="AQ32" s="731"/>
      <c r="AR32" s="731"/>
      <c r="AS32" s="731"/>
      <c r="AT32" s="731"/>
      <c r="AU32" s="731"/>
      <c r="AV32" s="731"/>
      <c r="AW32" s="731"/>
      <c r="AX32" s="729"/>
      <c r="AY32" s="729"/>
      <c r="AZ32" s="729"/>
      <c r="BA32" s="729"/>
      <c r="BB32" s="729"/>
      <c r="BC32" s="729"/>
      <c r="BD32" s="732"/>
      <c r="BE32" s="715">
        <f t="shared" ref="BE32:BE39" si="114">SUM(BF32:BV32)</f>
        <v>1850350.2</v>
      </c>
      <c r="BF32" s="742">
        <f>AMPOP!I36</f>
        <v>1850350.2</v>
      </c>
      <c r="BG32" s="728"/>
      <c r="BH32" s="728"/>
      <c r="BI32" s="728"/>
      <c r="BJ32" s="728"/>
      <c r="BK32" s="728"/>
      <c r="BL32" s="728"/>
      <c r="BM32" s="728"/>
      <c r="BN32" s="728"/>
      <c r="BO32" s="728"/>
      <c r="BP32" s="729"/>
      <c r="BQ32" s="729"/>
      <c r="BR32" s="729"/>
      <c r="BS32" s="729"/>
      <c r="BT32" s="729"/>
      <c r="BU32" s="729"/>
      <c r="BV32" s="732"/>
      <c r="BW32" s="715">
        <f t="shared" ref="BW32:BW39" si="115">SUM(BX32:CN32)</f>
        <v>1850350.2</v>
      </c>
      <c r="BX32" s="742">
        <f>AMPOP!J36</f>
        <v>1850350.2</v>
      </c>
      <c r="BY32" s="728"/>
      <c r="BZ32" s="728"/>
      <c r="CA32" s="728"/>
      <c r="CB32" s="728"/>
      <c r="CC32" s="728"/>
      <c r="CD32" s="728"/>
      <c r="CE32" s="728"/>
      <c r="CF32" s="728"/>
      <c r="CG32" s="728"/>
      <c r="CH32" s="729"/>
      <c r="CI32" s="729"/>
      <c r="CJ32" s="729"/>
      <c r="CK32" s="729"/>
      <c r="CL32" s="729"/>
      <c r="CM32" s="729"/>
      <c r="CN32" s="732"/>
    </row>
    <row r="33" spans="1:92" ht="15">
      <c r="A33" s="196"/>
      <c r="B33" s="227">
        <v>11003</v>
      </c>
      <c r="C33" s="179" t="s">
        <v>250</v>
      </c>
      <c r="D33" s="711">
        <f t="shared" si="112"/>
        <v>11975.7</v>
      </c>
      <c r="E33" s="742"/>
      <c r="F33" s="742"/>
      <c r="G33" s="742"/>
      <c r="H33" s="742"/>
      <c r="I33" s="742"/>
      <c r="J33" s="742"/>
      <c r="K33" s="742"/>
      <c r="L33" s="742"/>
      <c r="M33" s="742"/>
      <c r="N33" s="742"/>
      <c r="O33" s="729"/>
      <c r="P33" s="729"/>
      <c r="Q33" s="729"/>
      <c r="R33" s="729"/>
      <c r="S33" s="729"/>
      <c r="T33" s="729"/>
      <c r="U33" s="743">
        <v>11975.7</v>
      </c>
      <c r="V33" s="715">
        <f t="shared" si="87"/>
        <v>15000</v>
      </c>
      <c r="W33" s="728"/>
      <c r="X33" s="741"/>
      <c r="Y33" s="741"/>
      <c r="Z33" s="741"/>
      <c r="AA33" s="741"/>
      <c r="AB33" s="741"/>
      <c r="AC33" s="741"/>
      <c r="AD33" s="741"/>
      <c r="AE33" s="741"/>
      <c r="AF33" s="729"/>
      <c r="AG33" s="729"/>
      <c r="AH33" s="729"/>
      <c r="AI33" s="729"/>
      <c r="AJ33" s="729"/>
      <c r="AK33" s="729"/>
      <c r="AL33" s="744">
        <v>15000</v>
      </c>
      <c r="AM33" s="715">
        <f t="shared" si="113"/>
        <v>15000</v>
      </c>
      <c r="AN33" s="731"/>
      <c r="AO33" s="741"/>
      <c r="AP33" s="741"/>
      <c r="AQ33" s="741"/>
      <c r="AR33" s="741"/>
      <c r="AS33" s="741"/>
      <c r="AT33" s="741"/>
      <c r="AU33" s="741"/>
      <c r="AV33" s="741"/>
      <c r="AW33" s="741"/>
      <c r="AX33" s="729"/>
      <c r="AY33" s="729"/>
      <c r="AZ33" s="729"/>
      <c r="BA33" s="729"/>
      <c r="BB33" s="729"/>
      <c r="BC33" s="729"/>
      <c r="BD33" s="744">
        <f>AMPOP!H37</f>
        <v>15000</v>
      </c>
      <c r="BE33" s="715">
        <f t="shared" si="114"/>
        <v>15000</v>
      </c>
      <c r="BF33" s="728"/>
      <c r="BG33" s="742"/>
      <c r="BH33" s="742"/>
      <c r="BI33" s="742"/>
      <c r="BJ33" s="742"/>
      <c r="BK33" s="742"/>
      <c r="BL33" s="742"/>
      <c r="BM33" s="742"/>
      <c r="BN33" s="742"/>
      <c r="BO33" s="742"/>
      <c r="BP33" s="729"/>
      <c r="BQ33" s="729"/>
      <c r="BR33" s="729"/>
      <c r="BS33" s="729"/>
      <c r="BT33" s="729"/>
      <c r="BU33" s="729"/>
      <c r="BV33" s="744">
        <f>AMPOP!I37</f>
        <v>15000</v>
      </c>
      <c r="BW33" s="715">
        <f t="shared" si="115"/>
        <v>15000</v>
      </c>
      <c r="BX33" s="728"/>
      <c r="BY33" s="742"/>
      <c r="BZ33" s="742"/>
      <c r="CA33" s="742"/>
      <c r="CB33" s="742"/>
      <c r="CC33" s="742"/>
      <c r="CD33" s="742"/>
      <c r="CE33" s="742"/>
      <c r="CF33" s="742"/>
      <c r="CG33" s="742"/>
      <c r="CH33" s="729"/>
      <c r="CI33" s="729"/>
      <c r="CJ33" s="729"/>
      <c r="CK33" s="729"/>
      <c r="CL33" s="729"/>
      <c r="CM33" s="729"/>
      <c r="CN33" s="744">
        <f>AMPOP!J37</f>
        <v>15000</v>
      </c>
    </row>
    <row r="34" spans="1:92" ht="15">
      <c r="A34" s="196"/>
      <c r="B34" s="231">
        <v>11004</v>
      </c>
      <c r="C34" s="178" t="s">
        <v>251</v>
      </c>
      <c r="D34" s="711">
        <f t="shared" si="112"/>
        <v>10422</v>
      </c>
      <c r="E34" s="742"/>
      <c r="F34" s="742"/>
      <c r="G34" s="742"/>
      <c r="H34" s="742"/>
      <c r="I34" s="742"/>
      <c r="J34" s="742"/>
      <c r="K34" s="742"/>
      <c r="L34" s="742"/>
      <c r="M34" s="742"/>
      <c r="N34" s="742"/>
      <c r="O34" s="729"/>
      <c r="P34" s="729"/>
      <c r="Q34" s="729"/>
      <c r="R34" s="729"/>
      <c r="S34" s="729"/>
      <c r="T34" s="738">
        <v>10422</v>
      </c>
      <c r="U34" s="730"/>
      <c r="V34" s="715">
        <f t="shared" si="87"/>
        <v>43710.9</v>
      </c>
      <c r="W34" s="728"/>
      <c r="X34" s="741"/>
      <c r="Y34" s="741"/>
      <c r="Z34" s="741"/>
      <c r="AA34" s="741"/>
      <c r="AB34" s="741"/>
      <c r="AC34" s="741"/>
      <c r="AD34" s="741"/>
      <c r="AE34" s="741"/>
      <c r="AF34" s="729"/>
      <c r="AG34" s="729"/>
      <c r="AH34" s="729"/>
      <c r="AI34" s="729"/>
      <c r="AJ34" s="729"/>
      <c r="AK34" s="745">
        <v>43710.9</v>
      </c>
      <c r="AL34" s="746"/>
      <c r="AM34" s="715">
        <f t="shared" si="113"/>
        <v>76800</v>
      </c>
      <c r="AN34" s="731"/>
      <c r="AO34" s="741"/>
      <c r="AP34" s="741"/>
      <c r="AQ34" s="741"/>
      <c r="AR34" s="741"/>
      <c r="AS34" s="741"/>
      <c r="AT34" s="741"/>
      <c r="AU34" s="741"/>
      <c r="AV34" s="741"/>
      <c r="AW34" s="741"/>
      <c r="AX34" s="729"/>
      <c r="AY34" s="729"/>
      <c r="AZ34" s="729"/>
      <c r="BA34" s="729"/>
      <c r="BB34" s="729">
        <v>48800</v>
      </c>
      <c r="BC34" s="745">
        <v>28000</v>
      </c>
      <c r="BD34" s="746"/>
      <c r="BE34" s="715">
        <f t="shared" si="114"/>
        <v>76800</v>
      </c>
      <c r="BF34" s="728"/>
      <c r="BG34" s="742"/>
      <c r="BH34" s="742"/>
      <c r="BI34" s="742"/>
      <c r="BJ34" s="742"/>
      <c r="BK34" s="742"/>
      <c r="BL34" s="742"/>
      <c r="BM34" s="742"/>
      <c r="BN34" s="742"/>
      <c r="BO34" s="742"/>
      <c r="BP34" s="729"/>
      <c r="BQ34" s="729"/>
      <c r="BR34" s="729"/>
      <c r="BS34" s="729"/>
      <c r="BT34" s="729">
        <v>48800</v>
      </c>
      <c r="BU34" s="745">
        <v>28000</v>
      </c>
      <c r="BV34" s="746"/>
      <c r="BW34" s="715">
        <f t="shared" si="115"/>
        <v>76800</v>
      </c>
      <c r="BX34" s="728"/>
      <c r="BY34" s="742"/>
      <c r="BZ34" s="742"/>
      <c r="CA34" s="742"/>
      <c r="CB34" s="742"/>
      <c r="CC34" s="742"/>
      <c r="CD34" s="742"/>
      <c r="CE34" s="742"/>
      <c r="CF34" s="742"/>
      <c r="CG34" s="742"/>
      <c r="CH34" s="729"/>
      <c r="CI34" s="729"/>
      <c r="CJ34" s="729"/>
      <c r="CK34" s="729"/>
      <c r="CL34" s="729">
        <v>48800</v>
      </c>
      <c r="CM34" s="745">
        <v>28000</v>
      </c>
      <c r="CN34" s="746"/>
    </row>
    <row r="35" spans="1:92" ht="15">
      <c r="A35" s="196"/>
      <c r="B35" s="227">
        <v>11005</v>
      </c>
      <c r="C35" s="179" t="s">
        <v>252</v>
      </c>
      <c r="D35" s="711">
        <f t="shared" si="112"/>
        <v>49293.9</v>
      </c>
      <c r="E35" s="742">
        <v>49293.9</v>
      </c>
      <c r="F35" s="742"/>
      <c r="G35" s="742"/>
      <c r="H35" s="742"/>
      <c r="I35" s="742"/>
      <c r="J35" s="742"/>
      <c r="K35" s="742"/>
      <c r="L35" s="742"/>
      <c r="M35" s="742"/>
      <c r="N35" s="742"/>
      <c r="O35" s="729"/>
      <c r="P35" s="729"/>
      <c r="Q35" s="729"/>
      <c r="R35" s="729"/>
      <c r="S35" s="729"/>
      <c r="T35" s="729"/>
      <c r="U35" s="730"/>
      <c r="V35" s="715">
        <f t="shared" si="87"/>
        <v>53325.8</v>
      </c>
      <c r="W35" s="728">
        <f>AMPOP!G39</f>
        <v>53325.8</v>
      </c>
      <c r="X35" s="741"/>
      <c r="Y35" s="741"/>
      <c r="Z35" s="741"/>
      <c r="AA35" s="741"/>
      <c r="AB35" s="741"/>
      <c r="AC35" s="741"/>
      <c r="AD35" s="741"/>
      <c r="AE35" s="741"/>
      <c r="AF35" s="729"/>
      <c r="AG35" s="729"/>
      <c r="AH35" s="729"/>
      <c r="AI35" s="729"/>
      <c r="AJ35" s="729"/>
      <c r="AK35" s="729"/>
      <c r="AL35" s="732"/>
      <c r="AM35" s="715">
        <f t="shared" si="113"/>
        <v>53325.8</v>
      </c>
      <c r="AN35" s="731">
        <f>AMPOP!H39</f>
        <v>53325.8</v>
      </c>
      <c r="AO35" s="741"/>
      <c r="AP35" s="741"/>
      <c r="AQ35" s="741"/>
      <c r="AR35" s="741"/>
      <c r="AS35" s="741"/>
      <c r="AT35" s="741"/>
      <c r="AU35" s="741"/>
      <c r="AV35" s="741"/>
      <c r="AW35" s="741"/>
      <c r="AX35" s="729"/>
      <c r="AY35" s="729"/>
      <c r="AZ35" s="729"/>
      <c r="BA35" s="729"/>
      <c r="BB35" s="729"/>
      <c r="BC35" s="729"/>
      <c r="BD35" s="732"/>
      <c r="BE35" s="715">
        <f t="shared" si="114"/>
        <v>53325.8</v>
      </c>
      <c r="BF35" s="728">
        <f>AMPOP!I39</f>
        <v>53325.8</v>
      </c>
      <c r="BG35" s="742"/>
      <c r="BH35" s="742"/>
      <c r="BI35" s="742"/>
      <c r="BJ35" s="742"/>
      <c r="BK35" s="742"/>
      <c r="BL35" s="742"/>
      <c r="BM35" s="742"/>
      <c r="BN35" s="742"/>
      <c r="BO35" s="742"/>
      <c r="BP35" s="729"/>
      <c r="BQ35" s="729"/>
      <c r="BR35" s="729"/>
      <c r="BS35" s="729"/>
      <c r="BT35" s="729"/>
      <c r="BU35" s="729"/>
      <c r="BV35" s="732"/>
      <c r="BW35" s="715">
        <f t="shared" si="115"/>
        <v>53325.8</v>
      </c>
      <c r="BX35" s="728">
        <f>AMPOP!J39</f>
        <v>53325.8</v>
      </c>
      <c r="BY35" s="742"/>
      <c r="BZ35" s="742"/>
      <c r="CA35" s="742"/>
      <c r="CB35" s="742"/>
      <c r="CC35" s="742"/>
      <c r="CD35" s="742"/>
      <c r="CE35" s="742"/>
      <c r="CF35" s="742"/>
      <c r="CG35" s="742"/>
      <c r="CH35" s="729"/>
      <c r="CI35" s="729"/>
      <c r="CJ35" s="729"/>
      <c r="CK35" s="729"/>
      <c r="CL35" s="729"/>
      <c r="CM35" s="729"/>
      <c r="CN35" s="732"/>
    </row>
    <row r="36" spans="1:92" ht="27">
      <c r="A36" s="197"/>
      <c r="B36" s="231">
        <v>31001</v>
      </c>
      <c r="C36" s="179" t="s">
        <v>265</v>
      </c>
      <c r="D36" s="711">
        <f t="shared" si="112"/>
        <v>3499.5</v>
      </c>
      <c r="E36" s="742"/>
      <c r="F36" s="742"/>
      <c r="G36" s="742"/>
      <c r="H36" s="742"/>
      <c r="I36" s="742"/>
      <c r="J36" s="742"/>
      <c r="K36" s="742"/>
      <c r="L36" s="742"/>
      <c r="M36" s="742"/>
      <c r="N36" s="742"/>
      <c r="O36" s="729"/>
      <c r="P36" s="729"/>
      <c r="Q36" s="738">
        <v>3499.5</v>
      </c>
      <c r="R36" s="729"/>
      <c r="S36" s="729"/>
      <c r="T36" s="729"/>
      <c r="U36" s="730"/>
      <c r="V36" s="715">
        <f t="shared" si="87"/>
        <v>3552.8</v>
      </c>
      <c r="W36" s="728"/>
      <c r="X36" s="741"/>
      <c r="Y36" s="741"/>
      <c r="Z36" s="741"/>
      <c r="AA36" s="741"/>
      <c r="AB36" s="741"/>
      <c r="AC36" s="741"/>
      <c r="AD36" s="741"/>
      <c r="AE36" s="741"/>
      <c r="AF36" s="729"/>
      <c r="AG36" s="729"/>
      <c r="AH36" s="738">
        <f>AMPOP!G40</f>
        <v>3552.8</v>
      </c>
      <c r="AI36" s="729"/>
      <c r="AJ36" s="729"/>
      <c r="AK36" s="729"/>
      <c r="AL36" s="732"/>
      <c r="AM36" s="715">
        <f t="shared" si="113"/>
        <v>0</v>
      </c>
      <c r="AN36" s="731"/>
      <c r="AO36" s="741"/>
      <c r="AP36" s="741"/>
      <c r="AQ36" s="741"/>
      <c r="AR36" s="741"/>
      <c r="AS36" s="741"/>
      <c r="AT36" s="741"/>
      <c r="AU36" s="741"/>
      <c r="AV36" s="741"/>
      <c r="AW36" s="741"/>
      <c r="AX36" s="729"/>
      <c r="AY36" s="729"/>
      <c r="AZ36" s="738">
        <f>AMPOP!H40</f>
        <v>0</v>
      </c>
      <c r="BA36" s="729"/>
      <c r="BB36" s="729"/>
      <c r="BC36" s="729"/>
      <c r="BD36" s="732"/>
      <c r="BE36" s="715">
        <f t="shared" si="114"/>
        <v>0</v>
      </c>
      <c r="BF36" s="728"/>
      <c r="BG36" s="742"/>
      <c r="BH36" s="742"/>
      <c r="BI36" s="742"/>
      <c r="BJ36" s="742"/>
      <c r="BK36" s="742"/>
      <c r="BL36" s="742"/>
      <c r="BM36" s="742"/>
      <c r="BN36" s="742"/>
      <c r="BO36" s="742"/>
      <c r="BP36" s="729"/>
      <c r="BQ36" s="729"/>
      <c r="BR36" s="738">
        <f>AMPOP!I40</f>
        <v>0</v>
      </c>
      <c r="BS36" s="729"/>
      <c r="BT36" s="729"/>
      <c r="BU36" s="729"/>
      <c r="BV36" s="732"/>
      <c r="BW36" s="715">
        <f t="shared" si="115"/>
        <v>0</v>
      </c>
      <c r="BX36" s="728"/>
      <c r="BY36" s="742"/>
      <c r="BZ36" s="742"/>
      <c r="CA36" s="742"/>
      <c r="CB36" s="742"/>
      <c r="CC36" s="742"/>
      <c r="CD36" s="742"/>
      <c r="CE36" s="742"/>
      <c r="CF36" s="742"/>
      <c r="CG36" s="742"/>
      <c r="CH36" s="729"/>
      <c r="CI36" s="729"/>
      <c r="CJ36" s="738">
        <f>AMPOP!J40</f>
        <v>0</v>
      </c>
      <c r="CK36" s="729"/>
      <c r="CL36" s="729"/>
      <c r="CM36" s="729"/>
      <c r="CN36" s="732"/>
    </row>
    <row r="37" spans="1:92" ht="27">
      <c r="A37" s="196"/>
      <c r="B37" s="232">
        <v>31003</v>
      </c>
      <c r="C37" s="179" t="s">
        <v>266</v>
      </c>
      <c r="D37" s="711">
        <f t="shared" si="112"/>
        <v>0</v>
      </c>
      <c r="E37" s="742"/>
      <c r="F37" s="742"/>
      <c r="G37" s="742"/>
      <c r="H37" s="742"/>
      <c r="I37" s="742"/>
      <c r="J37" s="742"/>
      <c r="K37" s="742"/>
      <c r="L37" s="742"/>
      <c r="M37" s="742"/>
      <c r="N37" s="742"/>
      <c r="O37" s="729"/>
      <c r="P37" s="729"/>
      <c r="Q37" s="729"/>
      <c r="R37" s="729"/>
      <c r="S37" s="729"/>
      <c r="T37" s="729"/>
      <c r="U37" s="730"/>
      <c r="V37" s="715">
        <f t="shared" si="87"/>
        <v>61126</v>
      </c>
      <c r="W37" s="728"/>
      <c r="X37" s="741"/>
      <c r="Y37" s="741"/>
      <c r="Z37" s="741"/>
      <c r="AA37" s="741"/>
      <c r="AB37" s="741"/>
      <c r="AC37" s="741"/>
      <c r="AD37" s="741"/>
      <c r="AE37" s="741"/>
      <c r="AF37" s="729">
        <f>AMPOP!G41</f>
        <v>61126</v>
      </c>
      <c r="AG37" s="729"/>
      <c r="AH37" s="729"/>
      <c r="AI37" s="729"/>
      <c r="AJ37" s="729"/>
      <c r="AK37" s="729"/>
      <c r="AL37" s="732"/>
      <c r="AM37" s="715">
        <f t="shared" si="113"/>
        <v>0</v>
      </c>
      <c r="AN37" s="731"/>
      <c r="AO37" s="741"/>
      <c r="AP37" s="741"/>
      <c r="AQ37" s="741"/>
      <c r="AR37" s="741"/>
      <c r="AS37" s="741"/>
      <c r="AT37" s="741"/>
      <c r="AU37" s="741"/>
      <c r="AV37" s="741"/>
      <c r="AW37" s="741"/>
      <c r="AX37" s="729">
        <f>AMPOP!X41</f>
        <v>0</v>
      </c>
      <c r="AY37" s="729"/>
      <c r="AZ37" s="729"/>
      <c r="BA37" s="729"/>
      <c r="BB37" s="729"/>
      <c r="BC37" s="729"/>
      <c r="BD37" s="732"/>
      <c r="BE37" s="715">
        <f t="shared" si="114"/>
        <v>0</v>
      </c>
      <c r="BF37" s="728"/>
      <c r="BG37" s="742"/>
      <c r="BH37" s="742"/>
      <c r="BI37" s="742"/>
      <c r="BJ37" s="742"/>
      <c r="BK37" s="742"/>
      <c r="BL37" s="742"/>
      <c r="BM37" s="742"/>
      <c r="BN37" s="742"/>
      <c r="BO37" s="742"/>
      <c r="BP37" s="729">
        <f>AMPOP!I41</f>
        <v>0</v>
      </c>
      <c r="BQ37" s="729"/>
      <c r="BR37" s="729"/>
      <c r="BS37" s="729"/>
      <c r="BT37" s="729"/>
      <c r="BU37" s="729"/>
      <c r="BV37" s="732"/>
      <c r="BW37" s="715">
        <f t="shared" si="115"/>
        <v>0</v>
      </c>
      <c r="BX37" s="728"/>
      <c r="BY37" s="742"/>
      <c r="BZ37" s="742"/>
      <c r="CA37" s="742"/>
      <c r="CB37" s="742"/>
      <c r="CC37" s="742"/>
      <c r="CD37" s="742"/>
      <c r="CE37" s="742"/>
      <c r="CF37" s="742"/>
      <c r="CG37" s="742"/>
      <c r="CH37" s="729">
        <f>AMPOP!J41</f>
        <v>0</v>
      </c>
      <c r="CI37" s="729"/>
      <c r="CJ37" s="729"/>
      <c r="CK37" s="729"/>
      <c r="CL37" s="729"/>
      <c r="CM37" s="729"/>
      <c r="CN37" s="732"/>
    </row>
    <row r="38" spans="1:92" ht="15">
      <c r="A38" s="196"/>
      <c r="B38" s="227">
        <v>32001</v>
      </c>
      <c r="C38" s="179" t="s">
        <v>253</v>
      </c>
      <c r="D38" s="711">
        <f t="shared" si="112"/>
        <v>346308.2</v>
      </c>
      <c r="E38" s="742"/>
      <c r="F38" s="742">
        <v>346308.2</v>
      </c>
      <c r="G38" s="742"/>
      <c r="H38" s="742"/>
      <c r="I38" s="742"/>
      <c r="J38" s="742"/>
      <c r="K38" s="742"/>
      <c r="L38" s="742"/>
      <c r="M38" s="742"/>
      <c r="N38" s="742"/>
      <c r="O38" s="729"/>
      <c r="P38" s="729"/>
      <c r="Q38" s="729"/>
      <c r="R38" s="729"/>
      <c r="S38" s="729"/>
      <c r="T38" s="729"/>
      <c r="U38" s="730"/>
      <c r="V38" s="715">
        <f t="shared" si="87"/>
        <v>413781.5</v>
      </c>
      <c r="W38" s="728"/>
      <c r="X38" s="741"/>
      <c r="Y38" s="741"/>
      <c r="Z38" s="741"/>
      <c r="AA38" s="741"/>
      <c r="AB38" s="741"/>
      <c r="AC38" s="741"/>
      <c r="AD38" s="741">
        <f>AMPOP!G42</f>
        <v>413781.5</v>
      </c>
      <c r="AE38" s="741"/>
      <c r="AF38" s="729"/>
      <c r="AG38" s="729"/>
      <c r="AH38" s="729"/>
      <c r="AI38" s="729"/>
      <c r="AJ38" s="729"/>
      <c r="AK38" s="729"/>
      <c r="AL38" s="732"/>
      <c r="AM38" s="715">
        <f t="shared" si="113"/>
        <v>2381608.7000000002</v>
      </c>
      <c r="AN38" s="731"/>
      <c r="AO38" s="741"/>
      <c r="AP38" s="741"/>
      <c r="AQ38" s="741"/>
      <c r="AR38" s="741"/>
      <c r="AS38" s="741"/>
      <c r="AT38" s="741"/>
      <c r="AU38" s="741">
        <f>AMPOP!H42</f>
        <v>2381608.7000000002</v>
      </c>
      <c r="AV38" s="741"/>
      <c r="AW38" s="741"/>
      <c r="AX38" s="729"/>
      <c r="AY38" s="729"/>
      <c r="AZ38" s="729"/>
      <c r="BA38" s="729"/>
      <c r="BB38" s="729"/>
      <c r="BC38" s="729"/>
      <c r="BD38" s="732"/>
      <c r="BE38" s="715">
        <f t="shared" si="114"/>
        <v>2405032.7999999998</v>
      </c>
      <c r="BF38" s="728"/>
      <c r="BG38" s="742"/>
      <c r="BH38" s="742"/>
      <c r="BI38" s="742"/>
      <c r="BJ38" s="742"/>
      <c r="BK38" s="742"/>
      <c r="BL38" s="742"/>
      <c r="BM38" s="742">
        <f>AMPOP!I42</f>
        <v>2405032.7999999998</v>
      </c>
      <c r="BN38" s="742"/>
      <c r="BO38" s="742"/>
      <c r="BP38" s="729"/>
      <c r="BQ38" s="729"/>
      <c r="BR38" s="729"/>
      <c r="BS38" s="729"/>
      <c r="BT38" s="729"/>
      <c r="BU38" s="729"/>
      <c r="BV38" s="732"/>
      <c r="BW38" s="715">
        <f t="shared" si="115"/>
        <v>2248867.9</v>
      </c>
      <c r="BX38" s="728"/>
      <c r="BY38" s="742"/>
      <c r="BZ38" s="742"/>
      <c r="CA38" s="742"/>
      <c r="CB38" s="742"/>
      <c r="CC38" s="742"/>
      <c r="CD38" s="742"/>
      <c r="CE38" s="742">
        <f>AMPOP!J42</f>
        <v>2248867.9</v>
      </c>
      <c r="CF38" s="742"/>
      <c r="CG38" s="742"/>
      <c r="CH38" s="729"/>
      <c r="CI38" s="729"/>
      <c r="CJ38" s="729"/>
      <c r="CK38" s="729"/>
      <c r="CL38" s="729"/>
      <c r="CM38" s="729"/>
      <c r="CN38" s="732"/>
    </row>
    <row r="39" spans="1:92" ht="15">
      <c r="A39" s="197"/>
      <c r="B39" s="227">
        <v>32002</v>
      </c>
      <c r="C39" s="179" t="s">
        <v>29</v>
      </c>
      <c r="D39" s="711">
        <f t="shared" si="112"/>
        <v>0</v>
      </c>
      <c r="E39" s="742"/>
      <c r="F39" s="742"/>
      <c r="G39" s="742"/>
      <c r="H39" s="742"/>
      <c r="I39" s="742"/>
      <c r="J39" s="742"/>
      <c r="K39" s="742"/>
      <c r="L39" s="742"/>
      <c r="M39" s="742"/>
      <c r="N39" s="742"/>
      <c r="O39" s="729"/>
      <c r="P39" s="729"/>
      <c r="Q39" s="729"/>
      <c r="R39" s="729"/>
      <c r="S39" s="729"/>
      <c r="T39" s="729"/>
      <c r="U39" s="730"/>
      <c r="V39" s="715">
        <f t="shared" si="87"/>
        <v>125733.3</v>
      </c>
      <c r="W39" s="728"/>
      <c r="X39" s="741"/>
      <c r="Y39" s="741"/>
      <c r="Z39" s="741"/>
      <c r="AA39" s="741"/>
      <c r="AB39" s="741"/>
      <c r="AC39" s="741">
        <f>AMPOP!G43</f>
        <v>125733.3</v>
      </c>
      <c r="AD39" s="741"/>
      <c r="AE39" s="741"/>
      <c r="AF39" s="729"/>
      <c r="AG39" s="729"/>
      <c r="AH39" s="729"/>
      <c r="AI39" s="729"/>
      <c r="AJ39" s="729"/>
      <c r="AK39" s="729"/>
      <c r="AL39" s="732"/>
      <c r="AM39" s="715">
        <f t="shared" si="113"/>
        <v>192927.1</v>
      </c>
      <c r="AN39" s="731"/>
      <c r="AO39" s="741"/>
      <c r="AP39" s="741"/>
      <c r="AQ39" s="741"/>
      <c r="AR39" s="741"/>
      <c r="AS39" s="741"/>
      <c r="AT39" s="747">
        <f>AMPOP!H43</f>
        <v>192927.1</v>
      </c>
      <c r="AU39" s="741"/>
      <c r="AV39" s="741"/>
      <c r="AW39" s="741"/>
      <c r="AX39" s="729"/>
      <c r="AY39" s="729"/>
      <c r="AZ39" s="729"/>
      <c r="BA39" s="729"/>
      <c r="BB39" s="729"/>
      <c r="BC39" s="729"/>
      <c r="BD39" s="732"/>
      <c r="BE39" s="715">
        <f t="shared" si="114"/>
        <v>250826.4</v>
      </c>
      <c r="BF39" s="728"/>
      <c r="BG39" s="742"/>
      <c r="BH39" s="742"/>
      <c r="BI39" s="742"/>
      <c r="BJ39" s="742"/>
      <c r="BK39" s="742"/>
      <c r="BL39" s="748">
        <f>AMPOP!I43</f>
        <v>250826.4</v>
      </c>
      <c r="BM39" s="742"/>
      <c r="BN39" s="742"/>
      <c r="BO39" s="742"/>
      <c r="BP39" s="729"/>
      <c r="BQ39" s="729"/>
      <c r="BR39" s="729"/>
      <c r="BS39" s="729"/>
      <c r="BT39" s="729"/>
      <c r="BU39" s="729"/>
      <c r="BV39" s="732"/>
      <c r="BW39" s="715">
        <f t="shared" si="115"/>
        <v>251386.9</v>
      </c>
      <c r="BX39" s="728"/>
      <c r="BY39" s="742"/>
      <c r="BZ39" s="742"/>
      <c r="CA39" s="742"/>
      <c r="CB39" s="742"/>
      <c r="CC39" s="742"/>
      <c r="CD39" s="748">
        <f>AMPOP!J43</f>
        <v>251386.9</v>
      </c>
      <c r="CE39" s="742"/>
      <c r="CF39" s="742"/>
      <c r="CG39" s="742"/>
      <c r="CH39" s="729"/>
      <c r="CI39" s="729"/>
      <c r="CJ39" s="729"/>
      <c r="CK39" s="729"/>
      <c r="CL39" s="729"/>
      <c r="CM39" s="729"/>
      <c r="CN39" s="732"/>
    </row>
    <row r="40" spans="1:92" s="3" customFormat="1" ht="40.5" customHeight="1">
      <c r="A40" s="188" t="s">
        <v>254</v>
      </c>
      <c r="B40" s="223"/>
      <c r="C40" s="185" t="s">
        <v>255</v>
      </c>
      <c r="D40" s="706">
        <f>D41+D42</f>
        <v>340305.2</v>
      </c>
      <c r="E40" s="707">
        <f t="shared" ref="E40:U40" si="116">E41+E42</f>
        <v>37895.9</v>
      </c>
      <c r="F40" s="707">
        <f t="shared" si="116"/>
        <v>0</v>
      </c>
      <c r="G40" s="707">
        <f t="shared" si="116"/>
        <v>302409.3</v>
      </c>
      <c r="H40" s="707">
        <f t="shared" si="116"/>
        <v>0</v>
      </c>
      <c r="I40" s="707">
        <f t="shared" si="116"/>
        <v>0</v>
      </c>
      <c r="J40" s="707">
        <f t="shared" si="116"/>
        <v>0</v>
      </c>
      <c r="K40" s="707">
        <f t="shared" si="116"/>
        <v>0</v>
      </c>
      <c r="L40" s="707">
        <f t="shared" si="116"/>
        <v>0</v>
      </c>
      <c r="M40" s="707">
        <f t="shared" si="116"/>
        <v>0</v>
      </c>
      <c r="N40" s="707">
        <f t="shared" si="116"/>
        <v>0</v>
      </c>
      <c r="O40" s="707">
        <f t="shared" si="116"/>
        <v>0</v>
      </c>
      <c r="P40" s="707">
        <f t="shared" si="116"/>
        <v>0</v>
      </c>
      <c r="Q40" s="707">
        <f t="shared" ref="Q40:R40" si="117">Q41+Q42</f>
        <v>0</v>
      </c>
      <c r="R40" s="707">
        <f t="shared" si="117"/>
        <v>0</v>
      </c>
      <c r="S40" s="707">
        <f t="shared" si="116"/>
        <v>0</v>
      </c>
      <c r="T40" s="707">
        <f t="shared" si="116"/>
        <v>0</v>
      </c>
      <c r="U40" s="708">
        <f t="shared" si="116"/>
        <v>0</v>
      </c>
      <c r="V40" s="709">
        <f>V41+V42</f>
        <v>353377.10000000003</v>
      </c>
      <c r="W40" s="749">
        <f>W41+W42</f>
        <v>50604.9</v>
      </c>
      <c r="X40" s="750">
        <f t="shared" ref="X40:AL40" si="118">X41+X42</f>
        <v>302772.2</v>
      </c>
      <c r="Y40" s="750">
        <f t="shared" si="118"/>
        <v>0</v>
      </c>
      <c r="Z40" s="750">
        <f t="shared" si="118"/>
        <v>0</v>
      </c>
      <c r="AA40" s="750">
        <f t="shared" si="118"/>
        <v>0</v>
      </c>
      <c r="AB40" s="750">
        <f t="shared" si="118"/>
        <v>0</v>
      </c>
      <c r="AC40" s="750">
        <f t="shared" si="118"/>
        <v>0</v>
      </c>
      <c r="AD40" s="750">
        <f t="shared" si="118"/>
        <v>0</v>
      </c>
      <c r="AE40" s="750">
        <f t="shared" si="118"/>
        <v>0</v>
      </c>
      <c r="AF40" s="750">
        <f t="shared" si="118"/>
        <v>0</v>
      </c>
      <c r="AG40" s="750">
        <f t="shared" si="118"/>
        <v>0</v>
      </c>
      <c r="AH40" s="750">
        <f t="shared" si="118"/>
        <v>0</v>
      </c>
      <c r="AI40" s="750">
        <f t="shared" si="118"/>
        <v>0</v>
      </c>
      <c r="AJ40" s="750">
        <f t="shared" si="118"/>
        <v>0</v>
      </c>
      <c r="AK40" s="750">
        <f t="shared" si="118"/>
        <v>0</v>
      </c>
      <c r="AL40" s="751">
        <f t="shared" si="118"/>
        <v>0</v>
      </c>
      <c r="AM40" s="709">
        <f>AM41+AM42</f>
        <v>345322.3</v>
      </c>
      <c r="AN40" s="750">
        <f>AN41+AN42</f>
        <v>42550.1</v>
      </c>
      <c r="AO40" s="750">
        <f t="shared" ref="AO40" si="119">AO41+AO42</f>
        <v>302772.2</v>
      </c>
      <c r="AP40" s="750">
        <f t="shared" ref="AP40" si="120">AP41+AP42</f>
        <v>0</v>
      </c>
      <c r="AQ40" s="750">
        <f t="shared" ref="AQ40" si="121">AQ41+AQ42</f>
        <v>0</v>
      </c>
      <c r="AR40" s="750">
        <f t="shared" ref="AR40" si="122">AR41+AR42</f>
        <v>0</v>
      </c>
      <c r="AS40" s="750">
        <f t="shared" ref="AS40" si="123">AS41+AS42</f>
        <v>0</v>
      </c>
      <c r="AT40" s="750">
        <f t="shared" ref="AT40" si="124">AT41+AT42</f>
        <v>0</v>
      </c>
      <c r="AU40" s="750">
        <f t="shared" ref="AU40" si="125">AU41+AU42</f>
        <v>0</v>
      </c>
      <c r="AV40" s="750">
        <f t="shared" ref="AV40" si="126">AV41+AV42</f>
        <v>0</v>
      </c>
      <c r="AW40" s="750"/>
      <c r="AX40" s="750">
        <f t="shared" ref="AX40" si="127">AX41+AX42</f>
        <v>0</v>
      </c>
      <c r="AY40" s="750">
        <f t="shared" ref="AY40" si="128">AY41+AY42</f>
        <v>0</v>
      </c>
      <c r="AZ40" s="750">
        <f t="shared" ref="AZ40" si="129">AZ41+AZ42</f>
        <v>0</v>
      </c>
      <c r="BA40" s="750">
        <f t="shared" ref="BA40" si="130">BA41+BA42</f>
        <v>0</v>
      </c>
      <c r="BB40" s="750">
        <f t="shared" ref="BB40" si="131">BB41+BB42</f>
        <v>0</v>
      </c>
      <c r="BC40" s="750">
        <f t="shared" ref="BC40" si="132">BC41+BC42</f>
        <v>0</v>
      </c>
      <c r="BD40" s="751">
        <f t="shared" ref="BD40" si="133">BD41+BD42</f>
        <v>0</v>
      </c>
      <c r="BE40" s="709">
        <f>BE41+BE42</f>
        <v>345322.3</v>
      </c>
      <c r="BF40" s="749">
        <f>BF41+BF42</f>
        <v>42550.1</v>
      </c>
      <c r="BG40" s="749">
        <f t="shared" ref="BG40:BN40" si="134">BG41+BG42</f>
        <v>302772.2</v>
      </c>
      <c r="BH40" s="749">
        <f t="shared" si="134"/>
        <v>0</v>
      </c>
      <c r="BI40" s="749">
        <f t="shared" si="134"/>
        <v>0</v>
      </c>
      <c r="BJ40" s="749">
        <f t="shared" si="134"/>
        <v>0</v>
      </c>
      <c r="BK40" s="749">
        <f t="shared" si="134"/>
        <v>0</v>
      </c>
      <c r="BL40" s="749">
        <f t="shared" si="134"/>
        <v>0</v>
      </c>
      <c r="BM40" s="749">
        <f t="shared" si="134"/>
        <v>0</v>
      </c>
      <c r="BN40" s="749">
        <f t="shared" si="134"/>
        <v>0</v>
      </c>
      <c r="BO40" s="749"/>
      <c r="BP40" s="749">
        <f t="shared" ref="BP40:BV40" si="135">BP41+BP42</f>
        <v>0</v>
      </c>
      <c r="BQ40" s="749">
        <f t="shared" si="135"/>
        <v>0</v>
      </c>
      <c r="BR40" s="749">
        <f t="shared" si="135"/>
        <v>0</v>
      </c>
      <c r="BS40" s="749">
        <f t="shared" si="135"/>
        <v>0</v>
      </c>
      <c r="BT40" s="749">
        <f t="shared" si="135"/>
        <v>0</v>
      </c>
      <c r="BU40" s="749">
        <f t="shared" si="135"/>
        <v>0</v>
      </c>
      <c r="BV40" s="752">
        <f t="shared" si="135"/>
        <v>0</v>
      </c>
      <c r="BW40" s="709">
        <f>BW41+BW42</f>
        <v>345322.3</v>
      </c>
      <c r="BX40" s="749">
        <f>BX41+BX42</f>
        <v>42550.1</v>
      </c>
      <c r="BY40" s="749">
        <f t="shared" ref="BY40:CF40" si="136">BY41+BY42</f>
        <v>302772.2</v>
      </c>
      <c r="BZ40" s="749">
        <f t="shared" si="136"/>
        <v>0</v>
      </c>
      <c r="CA40" s="749">
        <f t="shared" si="136"/>
        <v>0</v>
      </c>
      <c r="CB40" s="749">
        <f t="shared" si="136"/>
        <v>0</v>
      </c>
      <c r="CC40" s="749">
        <f t="shared" si="136"/>
        <v>0</v>
      </c>
      <c r="CD40" s="749">
        <f t="shared" si="136"/>
        <v>0</v>
      </c>
      <c r="CE40" s="749">
        <f t="shared" si="136"/>
        <v>0</v>
      </c>
      <c r="CF40" s="749">
        <f t="shared" si="136"/>
        <v>0</v>
      </c>
      <c r="CG40" s="749"/>
      <c r="CH40" s="749">
        <f t="shared" ref="CH40:CN40" si="137">CH41+CH42</f>
        <v>0</v>
      </c>
      <c r="CI40" s="749">
        <f t="shared" si="137"/>
        <v>0</v>
      </c>
      <c r="CJ40" s="749">
        <f t="shared" si="137"/>
        <v>0</v>
      </c>
      <c r="CK40" s="749">
        <f t="shared" si="137"/>
        <v>0</v>
      </c>
      <c r="CL40" s="749">
        <f t="shared" si="137"/>
        <v>0</v>
      </c>
      <c r="CM40" s="749">
        <f t="shared" si="137"/>
        <v>0</v>
      </c>
      <c r="CN40" s="752">
        <f t="shared" si="137"/>
        <v>0</v>
      </c>
    </row>
    <row r="41" spans="1:92" ht="15">
      <c r="A41" s="1725"/>
      <c r="B41" s="227">
        <v>11001</v>
      </c>
      <c r="C41" s="183" t="s">
        <v>255</v>
      </c>
      <c r="D41" s="711">
        <f>SUM(E41:U41)</f>
        <v>37895.9</v>
      </c>
      <c r="E41" s="753">
        <v>37895.9</v>
      </c>
      <c r="F41" s="753"/>
      <c r="G41" s="753"/>
      <c r="H41" s="753"/>
      <c r="I41" s="753"/>
      <c r="J41" s="742"/>
      <c r="K41" s="742"/>
      <c r="L41" s="742"/>
      <c r="M41" s="742"/>
      <c r="N41" s="742"/>
      <c r="O41" s="729"/>
      <c r="P41" s="729"/>
      <c r="Q41" s="729"/>
      <c r="R41" s="729"/>
      <c r="S41" s="729"/>
      <c r="T41" s="729"/>
      <c r="U41" s="730"/>
      <c r="V41" s="715">
        <f t="shared" si="87"/>
        <v>50604.9</v>
      </c>
      <c r="W41" s="753">
        <f>AMPOP!G45</f>
        <v>50604.9</v>
      </c>
      <c r="X41" s="735"/>
      <c r="Y41" s="735"/>
      <c r="Z41" s="735"/>
      <c r="AA41" s="741"/>
      <c r="AB41" s="741"/>
      <c r="AC41" s="741"/>
      <c r="AD41" s="741"/>
      <c r="AE41" s="741"/>
      <c r="AF41" s="729"/>
      <c r="AG41" s="729"/>
      <c r="AH41" s="729"/>
      <c r="AI41" s="729"/>
      <c r="AJ41" s="729"/>
      <c r="AK41" s="729"/>
      <c r="AL41" s="732"/>
      <c r="AM41" s="715">
        <f t="shared" ref="AM41:AM42" si="138">SUM(AN41:BD41)</f>
        <v>42550.1</v>
      </c>
      <c r="AN41" s="735">
        <f>AMPOP!H45</f>
        <v>42550.1</v>
      </c>
      <c r="AO41" s="735"/>
      <c r="AP41" s="735"/>
      <c r="AQ41" s="735"/>
      <c r="AR41" s="741"/>
      <c r="AS41" s="741"/>
      <c r="AT41" s="741"/>
      <c r="AU41" s="741"/>
      <c r="AV41" s="741"/>
      <c r="AW41" s="741"/>
      <c r="AX41" s="729"/>
      <c r="AY41" s="729"/>
      <c r="AZ41" s="729"/>
      <c r="BA41" s="729"/>
      <c r="BB41" s="729"/>
      <c r="BC41" s="729"/>
      <c r="BD41" s="732"/>
      <c r="BE41" s="715">
        <f t="shared" ref="BE41:BE42" si="139">SUM(BF41:BV41)</f>
        <v>42550.1</v>
      </c>
      <c r="BF41" s="753">
        <f>AMPOP!I45</f>
        <v>42550.1</v>
      </c>
      <c r="BG41" s="753"/>
      <c r="BH41" s="753"/>
      <c r="BI41" s="753"/>
      <c r="BJ41" s="742"/>
      <c r="BK41" s="742"/>
      <c r="BL41" s="742"/>
      <c r="BM41" s="742"/>
      <c r="BN41" s="742"/>
      <c r="BO41" s="742"/>
      <c r="BP41" s="729"/>
      <c r="BQ41" s="729"/>
      <c r="BR41" s="729"/>
      <c r="BS41" s="729"/>
      <c r="BT41" s="729"/>
      <c r="BU41" s="729"/>
      <c r="BV41" s="732"/>
      <c r="BW41" s="715">
        <f t="shared" ref="BW41:BW42" si="140">SUM(BX41:CN41)</f>
        <v>42550.1</v>
      </c>
      <c r="BX41" s="753">
        <f>AMPOP!J45</f>
        <v>42550.1</v>
      </c>
      <c r="BY41" s="753"/>
      <c r="BZ41" s="753"/>
      <c r="CA41" s="753"/>
      <c r="CB41" s="742"/>
      <c r="CC41" s="742"/>
      <c r="CD41" s="742"/>
      <c r="CE41" s="742"/>
      <c r="CF41" s="742"/>
      <c r="CG41" s="742"/>
      <c r="CH41" s="729"/>
      <c r="CI41" s="729"/>
      <c r="CJ41" s="729"/>
      <c r="CK41" s="729"/>
      <c r="CL41" s="729"/>
      <c r="CM41" s="729"/>
      <c r="CN41" s="732"/>
    </row>
    <row r="42" spans="1:92" ht="15">
      <c r="A42" s="1744"/>
      <c r="B42" s="268">
        <v>11002</v>
      </c>
      <c r="C42" s="205" t="s">
        <v>256</v>
      </c>
      <c r="D42" s="711">
        <f>SUM(E42:U42)</f>
        <v>302409.3</v>
      </c>
      <c r="E42" s="753"/>
      <c r="F42" s="753"/>
      <c r="G42" s="753">
        <v>302409.3</v>
      </c>
      <c r="H42" s="753"/>
      <c r="I42" s="753"/>
      <c r="J42" s="753"/>
      <c r="K42" s="753"/>
      <c r="L42" s="753"/>
      <c r="M42" s="753"/>
      <c r="N42" s="753"/>
      <c r="O42" s="754"/>
      <c r="P42" s="754"/>
      <c r="Q42" s="754"/>
      <c r="R42" s="754"/>
      <c r="S42" s="754"/>
      <c r="T42" s="754"/>
      <c r="U42" s="755"/>
      <c r="V42" s="715">
        <f t="shared" si="87"/>
        <v>302772.2</v>
      </c>
      <c r="W42" s="753"/>
      <c r="X42" s="735">
        <f>AMPOP!G46</f>
        <v>302772.2</v>
      </c>
      <c r="Y42" s="735"/>
      <c r="Z42" s="735"/>
      <c r="AA42" s="735"/>
      <c r="AB42" s="735"/>
      <c r="AC42" s="735"/>
      <c r="AD42" s="735"/>
      <c r="AE42" s="735"/>
      <c r="AF42" s="731"/>
      <c r="AG42" s="731"/>
      <c r="AH42" s="731"/>
      <c r="AI42" s="731"/>
      <c r="AJ42" s="731"/>
      <c r="AK42" s="731"/>
      <c r="AL42" s="756"/>
      <c r="AM42" s="715">
        <f t="shared" si="138"/>
        <v>302772.2</v>
      </c>
      <c r="AN42" s="735"/>
      <c r="AO42" s="735">
        <f>AMPOP!H46</f>
        <v>302772.2</v>
      </c>
      <c r="AP42" s="735"/>
      <c r="AQ42" s="735"/>
      <c r="AR42" s="735"/>
      <c r="AS42" s="735"/>
      <c r="AT42" s="735"/>
      <c r="AU42" s="735"/>
      <c r="AV42" s="735"/>
      <c r="AW42" s="735"/>
      <c r="AX42" s="731"/>
      <c r="AY42" s="731"/>
      <c r="AZ42" s="731"/>
      <c r="BA42" s="731"/>
      <c r="BB42" s="731"/>
      <c r="BC42" s="731"/>
      <c r="BD42" s="756"/>
      <c r="BE42" s="715">
        <f t="shared" si="139"/>
        <v>302772.2</v>
      </c>
      <c r="BF42" s="753"/>
      <c r="BG42" s="753">
        <f>AMPOP!I46</f>
        <v>302772.2</v>
      </c>
      <c r="BH42" s="753"/>
      <c r="BI42" s="753"/>
      <c r="BJ42" s="753"/>
      <c r="BK42" s="753"/>
      <c r="BL42" s="753"/>
      <c r="BM42" s="753"/>
      <c r="BN42" s="753"/>
      <c r="BO42" s="753"/>
      <c r="BP42" s="754"/>
      <c r="BQ42" s="754"/>
      <c r="BR42" s="754"/>
      <c r="BS42" s="754"/>
      <c r="BT42" s="754"/>
      <c r="BU42" s="754"/>
      <c r="BV42" s="757"/>
      <c r="BW42" s="715">
        <f t="shared" si="140"/>
        <v>302772.2</v>
      </c>
      <c r="BX42" s="753"/>
      <c r="BY42" s="753">
        <f>AMPOP!J46</f>
        <v>302772.2</v>
      </c>
      <c r="BZ42" s="753"/>
      <c r="CA42" s="753"/>
      <c r="CB42" s="753"/>
      <c r="CC42" s="753"/>
      <c r="CD42" s="753"/>
      <c r="CE42" s="753"/>
      <c r="CF42" s="753"/>
      <c r="CG42" s="753"/>
      <c r="CH42" s="754"/>
      <c r="CI42" s="754"/>
      <c r="CJ42" s="754"/>
      <c r="CK42" s="754"/>
      <c r="CL42" s="754"/>
      <c r="CM42" s="754"/>
      <c r="CN42" s="757"/>
    </row>
    <row r="43" spans="1:92" s="3" customFormat="1" ht="40.5" customHeight="1">
      <c r="A43" s="188">
        <v>1020</v>
      </c>
      <c r="B43" s="223"/>
      <c r="C43" s="185" t="s">
        <v>273</v>
      </c>
      <c r="D43" s="706">
        <f>+D44</f>
        <v>0</v>
      </c>
      <c r="E43" s="707">
        <f t="shared" ref="E43:T43" si="141">+E44</f>
        <v>0</v>
      </c>
      <c r="F43" s="707">
        <f t="shared" si="141"/>
        <v>0</v>
      </c>
      <c r="G43" s="707">
        <f t="shared" si="141"/>
        <v>0</v>
      </c>
      <c r="H43" s="707">
        <f t="shared" si="141"/>
        <v>0</v>
      </c>
      <c r="I43" s="707">
        <f t="shared" si="141"/>
        <v>0</v>
      </c>
      <c r="J43" s="707">
        <f t="shared" si="141"/>
        <v>0</v>
      </c>
      <c r="K43" s="707">
        <f t="shared" si="141"/>
        <v>0</v>
      </c>
      <c r="L43" s="707">
        <f t="shared" si="141"/>
        <v>0</v>
      </c>
      <c r="M43" s="707">
        <f t="shared" si="141"/>
        <v>0</v>
      </c>
      <c r="N43" s="707">
        <f t="shared" si="141"/>
        <v>0</v>
      </c>
      <c r="O43" s="707">
        <f t="shared" si="141"/>
        <v>0</v>
      </c>
      <c r="P43" s="707">
        <f t="shared" si="141"/>
        <v>0</v>
      </c>
      <c r="Q43" s="707">
        <f t="shared" si="141"/>
        <v>0</v>
      </c>
      <c r="R43" s="707">
        <f t="shared" si="141"/>
        <v>0</v>
      </c>
      <c r="S43" s="707">
        <f t="shared" si="141"/>
        <v>0</v>
      </c>
      <c r="T43" s="707">
        <f t="shared" si="141"/>
        <v>0</v>
      </c>
      <c r="U43" s="708">
        <f>+U44</f>
        <v>0</v>
      </c>
      <c r="V43" s="709">
        <f>V44</f>
        <v>0</v>
      </c>
      <c r="W43" s="749">
        <f>W44</f>
        <v>0</v>
      </c>
      <c r="X43" s="750">
        <f t="shared" ref="X43:AL43" si="142">X44</f>
        <v>0</v>
      </c>
      <c r="Y43" s="750">
        <f t="shared" si="142"/>
        <v>0</v>
      </c>
      <c r="Z43" s="750">
        <f t="shared" si="142"/>
        <v>0</v>
      </c>
      <c r="AA43" s="750">
        <f t="shared" si="142"/>
        <v>0</v>
      </c>
      <c r="AB43" s="750">
        <f t="shared" si="142"/>
        <v>0</v>
      </c>
      <c r="AC43" s="750">
        <f t="shared" si="142"/>
        <v>0</v>
      </c>
      <c r="AD43" s="750">
        <f t="shared" si="142"/>
        <v>0</v>
      </c>
      <c r="AE43" s="750">
        <f t="shared" si="142"/>
        <v>0</v>
      </c>
      <c r="AF43" s="750">
        <f t="shared" si="142"/>
        <v>0</v>
      </c>
      <c r="AG43" s="750">
        <f t="shared" si="142"/>
        <v>0</v>
      </c>
      <c r="AH43" s="750">
        <f t="shared" si="142"/>
        <v>0</v>
      </c>
      <c r="AI43" s="750">
        <f t="shared" si="142"/>
        <v>0</v>
      </c>
      <c r="AJ43" s="750">
        <f t="shared" si="142"/>
        <v>0</v>
      </c>
      <c r="AK43" s="750">
        <f t="shared" si="142"/>
        <v>0</v>
      </c>
      <c r="AL43" s="751">
        <f t="shared" si="142"/>
        <v>0</v>
      </c>
      <c r="AM43" s="709">
        <f>AM44</f>
        <v>1352300</v>
      </c>
      <c r="AN43" s="750">
        <f>AN44</f>
        <v>1352300</v>
      </c>
      <c r="AO43" s="750">
        <f t="shared" ref="AO43" si="143">AO44</f>
        <v>0</v>
      </c>
      <c r="AP43" s="750">
        <f t="shared" ref="AP43" si="144">AP44</f>
        <v>0</v>
      </c>
      <c r="AQ43" s="750">
        <f t="shared" ref="AQ43" si="145">AQ44</f>
        <v>0</v>
      </c>
      <c r="AR43" s="750">
        <f t="shared" ref="AR43" si="146">AR44</f>
        <v>0</v>
      </c>
      <c r="AS43" s="750">
        <f t="shared" ref="AS43" si="147">AS44</f>
        <v>0</v>
      </c>
      <c r="AT43" s="750">
        <f t="shared" ref="AT43" si="148">AT44</f>
        <v>0</v>
      </c>
      <c r="AU43" s="750">
        <f t="shared" ref="AU43" si="149">AU44</f>
        <v>0</v>
      </c>
      <c r="AV43" s="750">
        <f t="shared" ref="AV43" si="150">AV44</f>
        <v>0</v>
      </c>
      <c r="AW43" s="750"/>
      <c r="AX43" s="750">
        <f t="shared" ref="AX43" si="151">AX44</f>
        <v>0</v>
      </c>
      <c r="AY43" s="750">
        <f t="shared" ref="AY43" si="152">AY44</f>
        <v>0</v>
      </c>
      <c r="AZ43" s="750">
        <f t="shared" ref="AZ43" si="153">AZ44</f>
        <v>0</v>
      </c>
      <c r="BA43" s="750">
        <f t="shared" ref="BA43" si="154">BA44</f>
        <v>0</v>
      </c>
      <c r="BB43" s="750">
        <f t="shared" ref="BB43" si="155">BB44</f>
        <v>0</v>
      </c>
      <c r="BC43" s="750">
        <f t="shared" ref="BC43" si="156">BC44</f>
        <v>0</v>
      </c>
      <c r="BD43" s="751">
        <f t="shared" ref="BD43" si="157">BD44</f>
        <v>0</v>
      </c>
      <c r="BE43" s="709">
        <f>BE44</f>
        <v>1352300</v>
      </c>
      <c r="BF43" s="749">
        <f>BF44</f>
        <v>0</v>
      </c>
      <c r="BG43" s="749">
        <f t="shared" ref="BG43:BN43" si="158">BG44</f>
        <v>1352300</v>
      </c>
      <c r="BH43" s="749">
        <f t="shared" si="158"/>
        <v>0</v>
      </c>
      <c r="BI43" s="749">
        <f t="shared" si="158"/>
        <v>0</v>
      </c>
      <c r="BJ43" s="749">
        <f t="shared" si="158"/>
        <v>0</v>
      </c>
      <c r="BK43" s="749">
        <f t="shared" si="158"/>
        <v>0</v>
      </c>
      <c r="BL43" s="749">
        <f t="shared" si="158"/>
        <v>0</v>
      </c>
      <c r="BM43" s="749">
        <f t="shared" si="158"/>
        <v>0</v>
      </c>
      <c r="BN43" s="749">
        <f t="shared" si="158"/>
        <v>0</v>
      </c>
      <c r="BO43" s="749"/>
      <c r="BP43" s="749">
        <f t="shared" ref="BP43:BV43" si="159">BP44</f>
        <v>0</v>
      </c>
      <c r="BQ43" s="749">
        <f t="shared" si="159"/>
        <v>0</v>
      </c>
      <c r="BR43" s="749">
        <f t="shared" si="159"/>
        <v>0</v>
      </c>
      <c r="BS43" s="749">
        <f t="shared" si="159"/>
        <v>0</v>
      </c>
      <c r="BT43" s="749">
        <f t="shared" si="159"/>
        <v>0</v>
      </c>
      <c r="BU43" s="749">
        <f t="shared" si="159"/>
        <v>0</v>
      </c>
      <c r="BV43" s="752">
        <f t="shared" si="159"/>
        <v>0</v>
      </c>
      <c r="BW43" s="709">
        <f>BW44</f>
        <v>1352300</v>
      </c>
      <c r="BX43" s="749">
        <f>BX44</f>
        <v>0</v>
      </c>
      <c r="BY43" s="749">
        <f t="shared" ref="BY43:CF43" si="160">BY44</f>
        <v>1352300</v>
      </c>
      <c r="BZ43" s="749">
        <f t="shared" si="160"/>
        <v>0</v>
      </c>
      <c r="CA43" s="749">
        <f t="shared" si="160"/>
        <v>0</v>
      </c>
      <c r="CB43" s="749">
        <f t="shared" si="160"/>
        <v>0</v>
      </c>
      <c r="CC43" s="749">
        <f t="shared" si="160"/>
        <v>0</v>
      </c>
      <c r="CD43" s="749">
        <f t="shared" si="160"/>
        <v>0</v>
      </c>
      <c r="CE43" s="749">
        <f t="shared" si="160"/>
        <v>0</v>
      </c>
      <c r="CF43" s="749">
        <f t="shared" si="160"/>
        <v>0</v>
      </c>
      <c r="CG43" s="749"/>
      <c r="CH43" s="749">
        <f t="shared" ref="CH43:CN43" si="161">CH44</f>
        <v>0</v>
      </c>
      <c r="CI43" s="749">
        <f t="shared" si="161"/>
        <v>0</v>
      </c>
      <c r="CJ43" s="749">
        <f t="shared" si="161"/>
        <v>0</v>
      </c>
      <c r="CK43" s="749">
        <f t="shared" si="161"/>
        <v>0</v>
      </c>
      <c r="CL43" s="749">
        <f t="shared" si="161"/>
        <v>0</v>
      </c>
      <c r="CM43" s="749">
        <f t="shared" si="161"/>
        <v>0</v>
      </c>
      <c r="CN43" s="752">
        <f t="shared" si="161"/>
        <v>0</v>
      </c>
    </row>
    <row r="44" spans="1:92" ht="15.75" thickBot="1">
      <c r="A44" s="198"/>
      <c r="B44" s="224">
        <v>11001</v>
      </c>
      <c r="C44" s="206" t="s">
        <v>273</v>
      </c>
      <c r="D44" s="758">
        <f>SUM(E44:U44)</f>
        <v>0</v>
      </c>
      <c r="E44" s="759"/>
      <c r="F44" s="759"/>
      <c r="G44" s="759"/>
      <c r="H44" s="759"/>
      <c r="I44" s="759"/>
      <c r="J44" s="759"/>
      <c r="K44" s="759"/>
      <c r="L44" s="759"/>
      <c r="M44" s="759"/>
      <c r="N44" s="759"/>
      <c r="O44" s="760"/>
      <c r="P44" s="760"/>
      <c r="Q44" s="760"/>
      <c r="R44" s="760"/>
      <c r="S44" s="760"/>
      <c r="T44" s="760"/>
      <c r="U44" s="761"/>
      <c r="V44" s="762">
        <f t="shared" ref="V44" si="162">SUM(W44:AL44)</f>
        <v>0</v>
      </c>
      <c r="W44" s="759"/>
      <c r="X44" s="763">
        <f>AMPOP!G49</f>
        <v>0</v>
      </c>
      <c r="Y44" s="763"/>
      <c r="Z44" s="763"/>
      <c r="AA44" s="763"/>
      <c r="AB44" s="763"/>
      <c r="AC44" s="763"/>
      <c r="AD44" s="763"/>
      <c r="AE44" s="763"/>
      <c r="AF44" s="764"/>
      <c r="AG44" s="764"/>
      <c r="AH44" s="764"/>
      <c r="AI44" s="764"/>
      <c r="AJ44" s="764"/>
      <c r="AK44" s="764"/>
      <c r="AL44" s="765"/>
      <c r="AM44" s="762">
        <f t="shared" ref="AM44" si="163">SUM(AN44:BD44)</f>
        <v>1352300</v>
      </c>
      <c r="AN44" s="763">
        <f>AMPOP!H48</f>
        <v>1352300</v>
      </c>
      <c r="AO44" s="763"/>
      <c r="AP44" s="763"/>
      <c r="AQ44" s="763"/>
      <c r="AR44" s="763"/>
      <c r="AS44" s="763"/>
      <c r="AT44" s="763"/>
      <c r="AU44" s="763"/>
      <c r="AV44" s="763"/>
      <c r="AW44" s="763"/>
      <c r="AX44" s="764"/>
      <c r="AY44" s="764"/>
      <c r="AZ44" s="764"/>
      <c r="BA44" s="764"/>
      <c r="BB44" s="764"/>
      <c r="BC44" s="764"/>
      <c r="BD44" s="765"/>
      <c r="BE44" s="762">
        <f t="shared" ref="BE44" si="164">SUM(BF44:BV44)</f>
        <v>1352300</v>
      </c>
      <c r="BF44" s="759">
        <f>AMPOP!Z48</f>
        <v>0</v>
      </c>
      <c r="BG44" s="759">
        <f>AMPOP!I48</f>
        <v>1352300</v>
      </c>
      <c r="BH44" s="759"/>
      <c r="BI44" s="759"/>
      <c r="BJ44" s="759"/>
      <c r="BK44" s="759"/>
      <c r="BL44" s="759"/>
      <c r="BM44" s="759"/>
      <c r="BN44" s="759"/>
      <c r="BO44" s="759"/>
      <c r="BP44" s="760"/>
      <c r="BQ44" s="760"/>
      <c r="BR44" s="760"/>
      <c r="BS44" s="760"/>
      <c r="BT44" s="760"/>
      <c r="BU44" s="760"/>
      <c r="BV44" s="766"/>
      <c r="BW44" s="762">
        <f t="shared" ref="BW44" si="165">SUM(BX44:CN44)</f>
        <v>1352300</v>
      </c>
      <c r="BX44" s="759">
        <f>AMPOP!AR48</f>
        <v>0</v>
      </c>
      <c r="BY44" s="759">
        <f>AMPOP!J48</f>
        <v>1352300</v>
      </c>
      <c r="BZ44" s="759"/>
      <c r="CA44" s="759"/>
      <c r="CB44" s="759"/>
      <c r="CC44" s="759"/>
      <c r="CD44" s="759"/>
      <c r="CE44" s="759"/>
      <c r="CF44" s="759"/>
      <c r="CG44" s="759"/>
      <c r="CH44" s="760"/>
      <c r="CI44" s="760"/>
      <c r="CJ44" s="760"/>
      <c r="CK44" s="760"/>
      <c r="CL44" s="760"/>
      <c r="CM44" s="760"/>
      <c r="CN44" s="766"/>
    </row>
  </sheetData>
  <mergeCells count="99">
    <mergeCell ref="AY4:AY5"/>
    <mergeCell ref="AM3:BD3"/>
    <mergeCell ref="AM4:AM5"/>
    <mergeCell ref="AN4:AN5"/>
    <mergeCell ref="AO4:AO5"/>
    <mergeCell ref="AP4:AP5"/>
    <mergeCell ref="AQ4:AQ5"/>
    <mergeCell ref="AR4:AR5"/>
    <mergeCell ref="AS4:AS5"/>
    <mergeCell ref="AT4:AT5"/>
    <mergeCell ref="AU4:AU5"/>
    <mergeCell ref="AV4:AV5"/>
    <mergeCell ref="AX4:AX5"/>
    <mergeCell ref="AZ4:AZ5"/>
    <mergeCell ref="BA4:BA5"/>
    <mergeCell ref="AW4:AW5"/>
    <mergeCell ref="A8:A9"/>
    <mergeCell ref="A11:A13"/>
    <mergeCell ref="A41:A42"/>
    <mergeCell ref="D4:D5"/>
    <mergeCell ref="U4:U5"/>
    <mergeCell ref="P4:P5"/>
    <mergeCell ref="M4:M5"/>
    <mergeCell ref="I4:I5"/>
    <mergeCell ref="J4:J5"/>
    <mergeCell ref="K4:K5"/>
    <mergeCell ref="L4:L5"/>
    <mergeCell ref="N4:N5"/>
    <mergeCell ref="O4:O5"/>
    <mergeCell ref="S4:S5"/>
    <mergeCell ref="E4:E5"/>
    <mergeCell ref="Q4:Q5"/>
    <mergeCell ref="H4:H5"/>
    <mergeCell ref="R4:R5"/>
    <mergeCell ref="AH4:AH5"/>
    <mergeCell ref="AI4:AI5"/>
    <mergeCell ref="A3:B5"/>
    <mergeCell ref="C3:C5"/>
    <mergeCell ref="D3:U3"/>
    <mergeCell ref="G4:G5"/>
    <mergeCell ref="T4:T5"/>
    <mergeCell ref="F4:F5"/>
    <mergeCell ref="V3:AL3"/>
    <mergeCell ref="V4:V5"/>
    <mergeCell ref="W4:W5"/>
    <mergeCell ref="X4:X5"/>
    <mergeCell ref="Y4:Y5"/>
    <mergeCell ref="Z4:Z5"/>
    <mergeCell ref="AA4:AA5"/>
    <mergeCell ref="AB4:AB5"/>
    <mergeCell ref="AC4:AC5"/>
    <mergeCell ref="AD4:AD5"/>
    <mergeCell ref="AE4:AE5"/>
    <mergeCell ref="AF4:AF5"/>
    <mergeCell ref="AL4:AL5"/>
    <mergeCell ref="AG4:AG5"/>
    <mergeCell ref="AJ4:AJ5"/>
    <mergeCell ref="AK4:AK5"/>
    <mergeCell ref="BB4:BB5"/>
    <mergeCell ref="BC4:BC5"/>
    <mergeCell ref="BD4:BD5"/>
    <mergeCell ref="BE3:BV3"/>
    <mergeCell ref="BE4:BE5"/>
    <mergeCell ref="BF4:BF5"/>
    <mergeCell ref="BG4:BG5"/>
    <mergeCell ref="BH4:BH5"/>
    <mergeCell ref="BI4:BI5"/>
    <mergeCell ref="BJ4:BJ5"/>
    <mergeCell ref="BK4:BK5"/>
    <mergeCell ref="BL4:BL5"/>
    <mergeCell ref="BM4:BM5"/>
    <mergeCell ref="BN4:BN5"/>
    <mergeCell ref="BO4:BO5"/>
    <mergeCell ref="BP4:BP5"/>
    <mergeCell ref="CH4:CH5"/>
    <mergeCell ref="CI4:CI5"/>
    <mergeCell ref="CJ4:CJ5"/>
    <mergeCell ref="CK4:CK5"/>
    <mergeCell ref="BQ4:BQ5"/>
    <mergeCell ref="BR4:BR5"/>
    <mergeCell ref="BS4:BS5"/>
    <mergeCell ref="BT4:BT5"/>
    <mergeCell ref="BU4:BU5"/>
    <mergeCell ref="CL4:CL5"/>
    <mergeCell ref="CM4:CM5"/>
    <mergeCell ref="CN4:CN5"/>
    <mergeCell ref="BV4:BV5"/>
    <mergeCell ref="BW3:CN3"/>
    <mergeCell ref="BW4:BW5"/>
    <mergeCell ref="BX4:BX5"/>
    <mergeCell ref="BY4:BY5"/>
    <mergeCell ref="BZ4:BZ5"/>
    <mergeCell ref="CA4:CA5"/>
    <mergeCell ref="CB4:CB5"/>
    <mergeCell ref="CC4:CC5"/>
    <mergeCell ref="CD4:CD5"/>
    <mergeCell ref="CE4:CE5"/>
    <mergeCell ref="CF4:CF5"/>
    <mergeCell ref="CG4:CG5"/>
  </mergeCells>
  <pageMargins left="0.7" right="0.7" top="0.75" bottom="0.75" header="0.3" footer="0.3"/>
  <pageSetup paperSize="9" orientation="portrait" verticalDpi="0" r:id="rId1"/>
  <ignoredErrors>
    <ignoredError sqref="D9" evalError="1"/>
    <ignoredError sqref="D32:D39 D41:D42 D14:D29" evalError="1" formula="1"/>
    <ignoredError sqref="A10:A42" numberStoredAsText="1"/>
    <ignoredError sqref="AM6 BE6"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751"/>
  <sheetViews>
    <sheetView zoomScale="90" zoomScaleNormal="90" workbookViewId="0">
      <selection activeCell="G10" sqref="G10"/>
    </sheetView>
  </sheetViews>
  <sheetFormatPr defaultRowHeight="13.5"/>
  <cols>
    <col min="1" max="1" width="9.28515625" style="30" customWidth="1"/>
    <col min="2" max="2" width="8.85546875" style="31" customWidth="1"/>
    <col min="3" max="3" width="62.28515625" style="32" customWidth="1"/>
    <col min="4" max="4" width="8" style="30" customWidth="1"/>
    <col min="5" max="5" width="7.5703125" style="30" customWidth="1"/>
    <col min="6" max="6" width="8.28515625" style="30" customWidth="1"/>
    <col min="7" max="7" width="14.7109375" style="33" customWidth="1"/>
    <col min="8" max="8" width="14.5703125" style="34" customWidth="1"/>
    <col min="9" max="9" width="15.85546875" style="156" customWidth="1"/>
    <col min="10" max="10" width="15.5703125" style="665" customWidth="1"/>
    <col min="11" max="11" width="14.5703125" style="156" customWidth="1"/>
    <col min="12" max="12" width="12.7109375" style="42" hidden="1" customWidth="1"/>
    <col min="13" max="13" width="15.85546875" style="42" hidden="1" customWidth="1"/>
    <col min="14" max="14" width="17.28515625" style="42" hidden="1" customWidth="1"/>
    <col min="15" max="15" width="10.5703125" style="30" bestFit="1" customWidth="1"/>
    <col min="16" max="16384" width="9.140625" style="30"/>
  </cols>
  <sheetData>
    <row r="1" spans="1:16" s="29" customFormat="1" ht="26.25" customHeight="1">
      <c r="A1" s="1823" t="s">
        <v>5</v>
      </c>
      <c r="B1" s="1823"/>
      <c r="C1" s="1823"/>
      <c r="D1" s="1823"/>
      <c r="E1" s="1823"/>
      <c r="F1" s="1823"/>
      <c r="G1" s="1823"/>
      <c r="H1" s="1823"/>
      <c r="I1" s="1823"/>
      <c r="J1" s="1823"/>
      <c r="K1" s="1823"/>
      <c r="L1" s="41"/>
      <c r="M1" s="41"/>
      <c r="N1" s="41"/>
    </row>
    <row r="2" spans="1:16" ht="14.25" thickBot="1">
      <c r="I2" s="155"/>
      <c r="J2" s="663"/>
      <c r="K2" s="155"/>
    </row>
    <row r="3" spans="1:16" ht="47.25" customHeight="1">
      <c r="A3" s="1836" t="s">
        <v>6</v>
      </c>
      <c r="B3" s="1837"/>
      <c r="C3" s="1840" t="s">
        <v>7</v>
      </c>
      <c r="D3" s="1842" t="s">
        <v>8</v>
      </c>
      <c r="E3" s="1843"/>
      <c r="F3" s="1844"/>
      <c r="G3" s="1832" t="s">
        <v>208</v>
      </c>
      <c r="H3" s="1832" t="s">
        <v>209</v>
      </c>
      <c r="I3" s="1834" t="s">
        <v>9</v>
      </c>
      <c r="J3" s="1826" t="s">
        <v>83</v>
      </c>
      <c r="K3" s="1828" t="s">
        <v>210</v>
      </c>
      <c r="L3" s="1830" t="s">
        <v>85</v>
      </c>
      <c r="M3" s="1830"/>
      <c r="N3" s="1831"/>
    </row>
    <row r="4" spans="1:16" ht="24" customHeight="1">
      <c r="A4" s="1838"/>
      <c r="B4" s="1839"/>
      <c r="C4" s="1841"/>
      <c r="D4" s="645" t="s">
        <v>10</v>
      </c>
      <c r="E4" s="203" t="s">
        <v>11</v>
      </c>
      <c r="F4" s="203" t="s">
        <v>12</v>
      </c>
      <c r="G4" s="1833"/>
      <c r="H4" s="1833"/>
      <c r="I4" s="1835"/>
      <c r="J4" s="1827"/>
      <c r="K4" s="1829"/>
      <c r="L4" s="276" t="s">
        <v>84</v>
      </c>
      <c r="M4" s="40" t="s">
        <v>86</v>
      </c>
      <c r="N4" s="40" t="s">
        <v>87</v>
      </c>
    </row>
    <row r="5" spans="1:16" ht="18.75" customHeight="1">
      <c r="A5" s="278"/>
      <c r="B5" s="204"/>
      <c r="C5" s="286"/>
      <c r="D5" s="294" t="s">
        <v>4</v>
      </c>
      <c r="E5" s="66" t="s">
        <v>4</v>
      </c>
      <c r="F5" s="66" t="s">
        <v>4</v>
      </c>
      <c r="G5" s="671">
        <f>G6+G9+G13+G15+G29+G39+G42</f>
        <v>5521700.6799999997</v>
      </c>
      <c r="H5" s="671">
        <f t="shared" ref="H5:K5" si="0">H6+H9+H13+H15+H29+H39+H42</f>
        <v>6984079.4999999991</v>
      </c>
      <c r="I5" s="671">
        <f>I6+I9+I13+I15+I29+I39+I42</f>
        <v>12578556.091268547</v>
      </c>
      <c r="J5" s="672">
        <f>J6+J9+J13+J15+J29+J39+J42</f>
        <v>10069117.418019241</v>
      </c>
      <c r="K5" s="673">
        <f t="shared" si="0"/>
        <v>9870212.0742303021</v>
      </c>
      <c r="L5" s="277" t="e">
        <f t="shared" ref="L5" si="1">L6+L12+L20+L23+L25+L43</f>
        <v>#REF!</v>
      </c>
      <c r="M5" s="39" t="e">
        <f t="shared" ref="M5" si="2">M6+M12+M20+M23+M25+M43</f>
        <v>#REF!</v>
      </c>
      <c r="N5" s="39" t="e">
        <f t="shared" ref="N5" si="3">N6+N12+N20+N23+N25+N43</f>
        <v>#REF!</v>
      </c>
    </row>
    <row r="6" spans="1:16" s="2" customFormat="1" ht="45" customHeight="1">
      <c r="A6" s="188">
        <v>1016</v>
      </c>
      <c r="B6" s="223"/>
      <c r="C6" s="185" t="s">
        <v>230</v>
      </c>
      <c r="D6" s="295" t="s">
        <v>4</v>
      </c>
      <c r="E6" s="253" t="s">
        <v>4</v>
      </c>
      <c r="F6" s="253" t="s">
        <v>4</v>
      </c>
      <c r="G6" s="674">
        <f>G7+G8</f>
        <v>355323.9</v>
      </c>
      <c r="H6" s="674">
        <f>H7+H8</f>
        <v>319103.59999999998</v>
      </c>
      <c r="I6" s="674">
        <f>I7+I8</f>
        <v>652343</v>
      </c>
      <c r="J6" s="675">
        <f t="shared" ref="J6:K6" si="4">J7+J8</f>
        <v>677077</v>
      </c>
      <c r="K6" s="676">
        <f t="shared" si="4"/>
        <v>680978.8</v>
      </c>
      <c r="L6" s="270">
        <f>SUM(L7:L11)</f>
        <v>387916.02381389012</v>
      </c>
      <c r="M6" s="38">
        <f t="shared" ref="M6:N6" si="5">SUM(M7:M11)</f>
        <v>432457.30372616067</v>
      </c>
      <c r="N6" s="38">
        <f t="shared" si="5"/>
        <v>453553.70333740115</v>
      </c>
      <c r="O6" s="157"/>
      <c r="P6" s="157"/>
    </row>
    <row r="7" spans="1:16" ht="31.5" customHeight="1">
      <c r="A7" s="1725"/>
      <c r="B7" s="226">
        <v>11001</v>
      </c>
      <c r="C7" s="177" t="s">
        <v>30</v>
      </c>
      <c r="D7" s="296" t="s">
        <v>13</v>
      </c>
      <c r="E7" s="35" t="s">
        <v>14</v>
      </c>
      <c r="F7" s="35" t="s">
        <v>15</v>
      </c>
      <c r="G7" s="677">
        <f>AMPOP!F12</f>
        <v>38077.199999999997</v>
      </c>
      <c r="H7" s="677">
        <f>AMPOP!G12</f>
        <v>45461.8</v>
      </c>
      <c r="I7" s="677">
        <f>AMPOP!H12</f>
        <v>45461.8</v>
      </c>
      <c r="J7" s="678">
        <f>AMPOP!I12</f>
        <v>45461.8</v>
      </c>
      <c r="K7" s="679">
        <f>AMPOP!J12</f>
        <v>45461.8</v>
      </c>
      <c r="L7" s="255">
        <f>I7-H7</f>
        <v>0</v>
      </c>
      <c r="M7" s="43">
        <f>J7-H7</f>
        <v>0</v>
      </c>
      <c r="N7" s="43">
        <f>K7-H7</f>
        <v>0</v>
      </c>
    </row>
    <row r="8" spans="1:16" ht="28.5" customHeight="1">
      <c r="A8" s="1726"/>
      <c r="B8" s="226">
        <v>11002</v>
      </c>
      <c r="C8" s="178" t="s">
        <v>231</v>
      </c>
      <c r="D8" s="296" t="s">
        <v>13</v>
      </c>
      <c r="E8" s="36" t="s">
        <v>14</v>
      </c>
      <c r="F8" s="36" t="s">
        <v>15</v>
      </c>
      <c r="G8" s="677">
        <f>AMPOP!F13</f>
        <v>317246.7</v>
      </c>
      <c r="H8" s="677">
        <f>AMPOP!G13</f>
        <v>273641.8</v>
      </c>
      <c r="I8" s="677">
        <f>AMPOP!H13</f>
        <v>606881.19999999995</v>
      </c>
      <c r="J8" s="678">
        <f>AMPOP!I13</f>
        <v>631615.19999999995</v>
      </c>
      <c r="K8" s="679">
        <f>AMPOP!J13</f>
        <v>635517</v>
      </c>
      <c r="L8" s="255">
        <f t="shared" ref="L8:L11" si="6">I8-H8</f>
        <v>333239.39999999997</v>
      </c>
      <c r="M8" s="43">
        <f t="shared" ref="M8:M11" si="7">J8-H8</f>
        <v>357973.39999999997</v>
      </c>
      <c r="N8" s="43">
        <f t="shared" ref="N8:N11" si="8">K8-H8</f>
        <v>361875.20000000001</v>
      </c>
    </row>
    <row r="9" spans="1:16" ht="33.75" customHeight="1">
      <c r="A9" s="189" t="s">
        <v>232</v>
      </c>
      <c r="B9" s="267"/>
      <c r="C9" s="186" t="s">
        <v>259</v>
      </c>
      <c r="D9" s="295" t="s">
        <v>4</v>
      </c>
      <c r="E9" s="253" t="s">
        <v>4</v>
      </c>
      <c r="F9" s="253" t="s">
        <v>4</v>
      </c>
      <c r="G9" s="680">
        <f>G10+G11+G12</f>
        <v>1178166.1400000001</v>
      </c>
      <c r="H9" s="680">
        <f>H10+H11+H12</f>
        <v>1168054.5</v>
      </c>
      <c r="I9" s="680">
        <f>I10+I11+I12</f>
        <v>1195394.0115069451</v>
      </c>
      <c r="J9" s="681">
        <f>J10+J11+J12</f>
        <v>1205297.6514630804</v>
      </c>
      <c r="K9" s="682">
        <f>K10+K11+K12</f>
        <v>1213894.9512687006</v>
      </c>
      <c r="L9" s="255">
        <f t="shared" si="6"/>
        <v>27339.511506945128</v>
      </c>
      <c r="M9" s="43">
        <f t="shared" si="7"/>
        <v>37243.15146308043</v>
      </c>
      <c r="N9" s="43">
        <f t="shared" si="8"/>
        <v>45840.45126870065</v>
      </c>
    </row>
    <row r="10" spans="1:16" ht="37.5" customHeight="1">
      <c r="A10" s="1725"/>
      <c r="B10" s="227">
        <v>11001</v>
      </c>
      <c r="C10" s="177" t="s">
        <v>260</v>
      </c>
      <c r="D10" s="296" t="s">
        <v>13</v>
      </c>
      <c r="E10" s="36" t="s">
        <v>14</v>
      </c>
      <c r="F10" s="36" t="s">
        <v>15</v>
      </c>
      <c r="G10" s="677">
        <f>AMPOP!F15</f>
        <v>1066981.51</v>
      </c>
      <c r="H10" s="677">
        <f>AMPOP!G15</f>
        <v>1053075.6000000001</v>
      </c>
      <c r="I10" s="677">
        <f>AMPOP!H15</f>
        <v>1080412.7118768911</v>
      </c>
      <c r="J10" s="678">
        <f>AMPOP!I15</f>
        <v>1090316.3318330264</v>
      </c>
      <c r="K10" s="679">
        <f>AMPOP!J15</f>
        <v>1098913.6316386466</v>
      </c>
      <c r="L10" s="255">
        <f t="shared" si="6"/>
        <v>27337.111876890995</v>
      </c>
      <c r="M10" s="43">
        <f t="shared" si="7"/>
        <v>37240.731833026279</v>
      </c>
      <c r="N10" s="43">
        <f t="shared" si="8"/>
        <v>45838.031638646498</v>
      </c>
    </row>
    <row r="11" spans="1:16" ht="20.25" customHeight="1">
      <c r="A11" s="1744"/>
      <c r="B11" s="227">
        <v>11002</v>
      </c>
      <c r="C11" s="179" t="s">
        <v>261</v>
      </c>
      <c r="D11" s="296" t="s">
        <v>13</v>
      </c>
      <c r="E11" s="36" t="s">
        <v>14</v>
      </c>
      <c r="F11" s="36" t="s">
        <v>15</v>
      </c>
      <c r="G11" s="677">
        <f>AMPOP!F16</f>
        <v>97486.33</v>
      </c>
      <c r="H11" s="677">
        <f>AMPOP!G16</f>
        <v>99042.7</v>
      </c>
      <c r="I11" s="677">
        <f>AMPOP!H16</f>
        <v>99042.700430054028</v>
      </c>
      <c r="J11" s="678">
        <f>AMPOP!I16</f>
        <v>99042.720430054018</v>
      </c>
      <c r="K11" s="679">
        <f>AMPOP!J16</f>
        <v>99042.720430054018</v>
      </c>
      <c r="L11" s="255">
        <f t="shared" si="6"/>
        <v>4.3005403131246567E-4</v>
      </c>
      <c r="M11" s="43">
        <f t="shared" si="7"/>
        <v>2.0430054020835087E-2</v>
      </c>
      <c r="N11" s="43">
        <f t="shared" si="8"/>
        <v>2.0430054020835087E-2</v>
      </c>
    </row>
    <row r="12" spans="1:16" s="2" customFormat="1" ht="34.5" customHeight="1">
      <c r="A12" s="1726"/>
      <c r="B12" s="227">
        <v>31001</v>
      </c>
      <c r="C12" s="177" t="s">
        <v>262</v>
      </c>
      <c r="D12" s="296" t="s">
        <v>13</v>
      </c>
      <c r="E12" s="36" t="s">
        <v>14</v>
      </c>
      <c r="F12" s="36" t="s">
        <v>15</v>
      </c>
      <c r="G12" s="677">
        <f>AMPOP!F17</f>
        <v>13698.3</v>
      </c>
      <c r="H12" s="677">
        <f>AMPOP!G17</f>
        <v>15936.2</v>
      </c>
      <c r="I12" s="677">
        <f>AMPOP!H17</f>
        <v>15938.599199999999</v>
      </c>
      <c r="J12" s="678">
        <f>AMPOP!I17</f>
        <v>15938.599199999999</v>
      </c>
      <c r="K12" s="679">
        <f>AMPOP!J17</f>
        <v>15938.599199999999</v>
      </c>
      <c r="L12" s="270">
        <f t="shared" ref="L12:N12" si="9">SUM(L13:L19)</f>
        <v>2133559.3800000004</v>
      </c>
      <c r="M12" s="38">
        <f t="shared" si="9"/>
        <v>-1609040.6</v>
      </c>
      <c r="N12" s="38">
        <f t="shared" si="9"/>
        <v>-1724200.2000000002</v>
      </c>
    </row>
    <row r="13" spans="1:16" ht="30.75" customHeight="1">
      <c r="A13" s="190" t="s">
        <v>233</v>
      </c>
      <c r="B13" s="223"/>
      <c r="C13" s="185" t="s">
        <v>234</v>
      </c>
      <c r="D13" s="295" t="s">
        <v>4</v>
      </c>
      <c r="E13" s="253" t="s">
        <v>4</v>
      </c>
      <c r="F13" s="253" t="s">
        <v>4</v>
      </c>
      <c r="G13" s="680">
        <f>G14</f>
        <v>149471.35999999999</v>
      </c>
      <c r="H13" s="680">
        <f t="shared" ref="H13:K13" si="10">H14</f>
        <v>0</v>
      </c>
      <c r="I13" s="680">
        <f t="shared" si="10"/>
        <v>633955</v>
      </c>
      <c r="J13" s="681">
        <f t="shared" si="10"/>
        <v>65193.4</v>
      </c>
      <c r="K13" s="682">
        <f t="shared" si="10"/>
        <v>7613.6</v>
      </c>
      <c r="L13" s="255">
        <f t="shared" ref="L13:L42" si="11">I13-H13</f>
        <v>633955</v>
      </c>
      <c r="M13" s="43">
        <f t="shared" ref="M13:M32" si="12">J13-H13</f>
        <v>65193.4</v>
      </c>
      <c r="N13" s="43">
        <f>K13-H13</f>
        <v>7613.6</v>
      </c>
    </row>
    <row r="14" spans="1:16" ht="30" customHeight="1">
      <c r="A14" s="191"/>
      <c r="B14" s="228">
        <v>12001</v>
      </c>
      <c r="C14" s="180" t="s">
        <v>235</v>
      </c>
      <c r="D14" s="297" t="s">
        <v>13</v>
      </c>
      <c r="E14" s="36" t="s">
        <v>14</v>
      </c>
      <c r="F14" s="36" t="s">
        <v>15</v>
      </c>
      <c r="G14" s="677">
        <f>AMPOP!F19</f>
        <v>149471.35999999999</v>
      </c>
      <c r="H14" s="677">
        <f>AMPOP!G19</f>
        <v>0</v>
      </c>
      <c r="I14" s="677">
        <f>AMPOP!H19</f>
        <v>633955</v>
      </c>
      <c r="J14" s="678">
        <f>AMPOP!I19</f>
        <v>65193.4</v>
      </c>
      <c r="K14" s="679">
        <f>AMPOP!J19</f>
        <v>7613.6</v>
      </c>
      <c r="L14" s="255">
        <f t="shared" si="11"/>
        <v>633955</v>
      </c>
      <c r="M14" s="43">
        <f t="shared" si="12"/>
        <v>65193.4</v>
      </c>
      <c r="N14" s="43">
        <f>K14-H14</f>
        <v>7613.6</v>
      </c>
    </row>
    <row r="15" spans="1:16" ht="36" customHeight="1">
      <c r="A15" s="189" t="s">
        <v>236</v>
      </c>
      <c r="B15" s="267"/>
      <c r="C15" s="186" t="s">
        <v>237</v>
      </c>
      <c r="D15" s="295" t="s">
        <v>4</v>
      </c>
      <c r="E15" s="253" t="s">
        <v>4</v>
      </c>
      <c r="F15" s="253" t="s">
        <v>4</v>
      </c>
      <c r="G15" s="680">
        <f>SUM(G16:G28)</f>
        <v>1735985.36</v>
      </c>
      <c r="H15" s="680">
        <f t="shared" ref="H15:K15" si="13">SUM(H16:H28)</f>
        <v>2840595.9000000004</v>
      </c>
      <c r="I15" s="680">
        <f t="shared" si="13"/>
        <v>3574038.9400000004</v>
      </c>
      <c r="J15" s="681">
        <f t="shared" si="13"/>
        <v>1515791.1</v>
      </c>
      <c r="K15" s="682">
        <f t="shared" si="13"/>
        <v>1515791.1</v>
      </c>
      <c r="L15" s="255">
        <f t="shared" si="11"/>
        <v>733443.04</v>
      </c>
      <c r="M15" s="43">
        <f t="shared" si="12"/>
        <v>-1324804.8000000003</v>
      </c>
      <c r="N15" s="43">
        <f t="shared" ref="N15:N18" si="14">K15-H15</f>
        <v>-1324804.8000000003</v>
      </c>
    </row>
    <row r="16" spans="1:16" ht="57.75" customHeight="1">
      <c r="A16" s="192"/>
      <c r="B16" s="229">
        <v>11001</v>
      </c>
      <c r="C16" s="179" t="s">
        <v>238</v>
      </c>
      <c r="D16" s="297" t="s">
        <v>13</v>
      </c>
      <c r="E16" s="36" t="s">
        <v>16</v>
      </c>
      <c r="F16" s="36" t="s">
        <v>15</v>
      </c>
      <c r="G16" s="677">
        <f>AMPOP!F21</f>
        <v>361660.37</v>
      </c>
      <c r="H16" s="677">
        <f>AMPOP!G21</f>
        <v>423154.3</v>
      </c>
      <c r="I16" s="677">
        <f>AMPOP!H21</f>
        <v>546828.93999999994</v>
      </c>
      <c r="J16" s="678">
        <f>AMPOP!I21</f>
        <v>0</v>
      </c>
      <c r="K16" s="679">
        <f>AMPOP!J21</f>
        <v>0</v>
      </c>
      <c r="L16" s="255">
        <f t="shared" si="11"/>
        <v>123674.63999999996</v>
      </c>
      <c r="M16" s="43">
        <f t="shared" si="12"/>
        <v>-423154.3</v>
      </c>
      <c r="N16" s="43">
        <f t="shared" si="14"/>
        <v>-423154.3</v>
      </c>
    </row>
    <row r="17" spans="1:14" ht="22.5" customHeight="1">
      <c r="A17" s="193"/>
      <c r="B17" s="229">
        <v>11002</v>
      </c>
      <c r="C17" s="179" t="s">
        <v>239</v>
      </c>
      <c r="D17" s="297" t="s">
        <v>13</v>
      </c>
      <c r="E17" s="36" t="s">
        <v>16</v>
      </c>
      <c r="F17" s="36" t="s">
        <v>15</v>
      </c>
      <c r="G17" s="677">
        <f>AMPOP!F22</f>
        <v>114375.76</v>
      </c>
      <c r="H17" s="677">
        <f>AMPOP!G22</f>
        <v>208238.5</v>
      </c>
      <c r="I17" s="677">
        <f>AMPOP!H22</f>
        <v>216804.1</v>
      </c>
      <c r="J17" s="678">
        <f>AMPOP!I22</f>
        <v>216804.1</v>
      </c>
      <c r="K17" s="679">
        <f>AMPOP!J22</f>
        <v>216804.1</v>
      </c>
      <c r="L17" s="255">
        <f t="shared" si="11"/>
        <v>8565.6000000000058</v>
      </c>
      <c r="M17" s="43">
        <f t="shared" si="12"/>
        <v>8565.6000000000058</v>
      </c>
      <c r="N17" s="43">
        <f t="shared" si="14"/>
        <v>8565.6000000000058</v>
      </c>
    </row>
    <row r="18" spans="1:14" ht="30" customHeight="1">
      <c r="A18" s="193"/>
      <c r="B18" s="229">
        <v>11003</v>
      </c>
      <c r="C18" s="179" t="s">
        <v>240</v>
      </c>
      <c r="D18" s="297" t="s">
        <v>13</v>
      </c>
      <c r="E18" s="36" t="s">
        <v>16</v>
      </c>
      <c r="F18" s="36" t="s">
        <v>15</v>
      </c>
      <c r="G18" s="677">
        <f>AMPOP!F23</f>
        <v>6690</v>
      </c>
      <c r="H18" s="677">
        <f>AMPOP!G23</f>
        <v>7624.3</v>
      </c>
      <c r="I18" s="677">
        <f>AMPOP!H23</f>
        <v>7590.4</v>
      </c>
      <c r="J18" s="678">
        <f>AMPOP!I23</f>
        <v>7590.4</v>
      </c>
      <c r="K18" s="679">
        <f>AMPOP!J23</f>
        <v>7590.4</v>
      </c>
      <c r="L18" s="255">
        <f t="shared" si="11"/>
        <v>-33.900000000000546</v>
      </c>
      <c r="M18" s="43">
        <f t="shared" si="12"/>
        <v>-33.900000000000546</v>
      </c>
      <c r="N18" s="43">
        <f t="shared" si="14"/>
        <v>-33.900000000000546</v>
      </c>
    </row>
    <row r="19" spans="1:14" ht="45.75" customHeight="1">
      <c r="A19" s="193"/>
      <c r="B19" s="229">
        <v>11004</v>
      </c>
      <c r="C19" s="177" t="s">
        <v>241</v>
      </c>
      <c r="D19" s="297" t="s">
        <v>13</v>
      </c>
      <c r="E19" s="36" t="s">
        <v>16</v>
      </c>
      <c r="F19" s="36" t="s">
        <v>15</v>
      </c>
      <c r="G19" s="677">
        <f>AMPOP!F24</f>
        <v>372692.7</v>
      </c>
      <c r="H19" s="677">
        <f>AMPOP!G24</f>
        <v>303897.7</v>
      </c>
      <c r="I19" s="677">
        <f>AMPOP!H24</f>
        <v>303897.7</v>
      </c>
      <c r="J19" s="678">
        <f>AMPOP!I24</f>
        <v>303897.7</v>
      </c>
      <c r="K19" s="679">
        <f>AMPOP!J24</f>
        <v>303897.7</v>
      </c>
      <c r="L19" s="255">
        <f t="shared" si="11"/>
        <v>0</v>
      </c>
      <c r="M19" s="43">
        <f t="shared" si="12"/>
        <v>0</v>
      </c>
      <c r="N19" s="43">
        <f>K19-H19</f>
        <v>0</v>
      </c>
    </row>
    <row r="20" spans="1:14" s="2" customFormat="1" ht="46.5" customHeight="1">
      <c r="A20" s="193"/>
      <c r="B20" s="229">
        <v>11005</v>
      </c>
      <c r="C20" s="179" t="s">
        <v>242</v>
      </c>
      <c r="D20" s="297" t="s">
        <v>13</v>
      </c>
      <c r="E20" s="36" t="s">
        <v>16</v>
      </c>
      <c r="F20" s="36" t="s">
        <v>15</v>
      </c>
      <c r="G20" s="677">
        <f>AMPOP!F25</f>
        <v>201475.3</v>
      </c>
      <c r="H20" s="677">
        <f>AMPOP!G25</f>
        <v>164366.29999999999</v>
      </c>
      <c r="I20" s="677">
        <f>AMPOP!H25</f>
        <v>164366.29999999999</v>
      </c>
      <c r="J20" s="678">
        <f>AMPOP!I25</f>
        <v>164366.29999999999</v>
      </c>
      <c r="K20" s="679">
        <f>AMPOP!J25</f>
        <v>164366.29999999999</v>
      </c>
      <c r="L20" s="270">
        <f t="shared" ref="L20:N20" si="15">L21+L22</f>
        <v>237675.49999999997</v>
      </c>
      <c r="M20" s="38">
        <f t="shared" si="15"/>
        <v>237675.49999999997</v>
      </c>
      <c r="N20" s="38">
        <f t="shared" si="15"/>
        <v>237675.49999999997</v>
      </c>
    </row>
    <row r="21" spans="1:14" ht="46.5" customHeight="1">
      <c r="A21" s="193"/>
      <c r="B21" s="229">
        <v>11006</v>
      </c>
      <c r="C21" s="179" t="s">
        <v>243</v>
      </c>
      <c r="D21" s="297" t="s">
        <v>13</v>
      </c>
      <c r="E21" s="36" t="s">
        <v>16</v>
      </c>
      <c r="F21" s="36" t="s">
        <v>15</v>
      </c>
      <c r="G21" s="677">
        <f>AMPOP!F26</f>
        <v>190339.5</v>
      </c>
      <c r="H21" s="677">
        <f>AMPOP!G26</f>
        <v>169254.1</v>
      </c>
      <c r="I21" s="677">
        <f>AMPOP!H26</f>
        <v>388284.1</v>
      </c>
      <c r="J21" s="678">
        <f>AMPOP!I26</f>
        <v>388284.1</v>
      </c>
      <c r="K21" s="679">
        <f>AMPOP!J26</f>
        <v>388284.1</v>
      </c>
      <c r="L21" s="255">
        <f>I21-H21</f>
        <v>219029.99999999997</v>
      </c>
      <c r="M21" s="43">
        <f>J21-H21</f>
        <v>219029.99999999997</v>
      </c>
      <c r="N21" s="43">
        <f>K21-H21</f>
        <v>219029.99999999997</v>
      </c>
    </row>
    <row r="22" spans="1:14" ht="31.5" customHeight="1">
      <c r="A22" s="193"/>
      <c r="B22" s="229">
        <v>11007</v>
      </c>
      <c r="C22" s="179" t="s">
        <v>244</v>
      </c>
      <c r="D22" s="297" t="s">
        <v>13</v>
      </c>
      <c r="E22" s="36" t="s">
        <v>16</v>
      </c>
      <c r="F22" s="36" t="s">
        <v>15</v>
      </c>
      <c r="G22" s="677">
        <f>AMPOP!F27</f>
        <v>188497.7</v>
      </c>
      <c r="H22" s="677">
        <f>AMPOP!G27</f>
        <v>152887.29999999999</v>
      </c>
      <c r="I22" s="677">
        <f>AMPOP!H27</f>
        <v>171532.79999999999</v>
      </c>
      <c r="J22" s="678">
        <f>AMPOP!I27</f>
        <v>171532.79999999999</v>
      </c>
      <c r="K22" s="679">
        <f>AMPOP!J27</f>
        <v>171532.79999999999</v>
      </c>
      <c r="L22" s="255">
        <f t="shared" ref="L22:L24" si="16">I22-H22</f>
        <v>18645.5</v>
      </c>
      <c r="M22" s="43">
        <f t="shared" ref="M22:M24" si="17">J22-H22</f>
        <v>18645.5</v>
      </c>
      <c r="N22" s="43">
        <f t="shared" ref="N22:N24" si="18">K22-H22</f>
        <v>18645.5</v>
      </c>
    </row>
    <row r="23" spans="1:14" s="29" customFormat="1" ht="33.75" customHeight="1">
      <c r="A23" s="194"/>
      <c r="B23" s="229">
        <v>11008</v>
      </c>
      <c r="C23" s="179" t="s">
        <v>263</v>
      </c>
      <c r="D23" s="297" t="s">
        <v>13</v>
      </c>
      <c r="E23" s="36" t="s">
        <v>16</v>
      </c>
      <c r="F23" s="36" t="s">
        <v>15</v>
      </c>
      <c r="G23" s="677">
        <f>AMPOP!F28</f>
        <v>73869.100000000006</v>
      </c>
      <c r="H23" s="677">
        <f>AMPOP!G28</f>
        <v>55404.9</v>
      </c>
      <c r="I23" s="677">
        <f>AMPOP!H28</f>
        <v>70764.899999999994</v>
      </c>
      <c r="J23" s="678">
        <f>AMPOP!I28</f>
        <v>70764.899999999994</v>
      </c>
      <c r="K23" s="679">
        <f>AMPOP!J28</f>
        <v>70764.899999999994</v>
      </c>
      <c r="L23" s="270">
        <f>L24</f>
        <v>0</v>
      </c>
      <c r="M23" s="38">
        <f t="shared" ref="M23:N23" si="19">M24</f>
        <v>0</v>
      </c>
      <c r="N23" s="38">
        <f t="shared" si="19"/>
        <v>0</v>
      </c>
    </row>
    <row r="24" spans="1:14" ht="22.5" customHeight="1">
      <c r="A24" s="192"/>
      <c r="B24" s="230">
        <v>11009</v>
      </c>
      <c r="C24" s="181" t="s">
        <v>264</v>
      </c>
      <c r="D24" s="297" t="s">
        <v>13</v>
      </c>
      <c r="E24" s="36" t="s">
        <v>16</v>
      </c>
      <c r="F24" s="36" t="s">
        <v>15</v>
      </c>
      <c r="G24" s="677">
        <f>AMPOP!F29</f>
        <v>15102.2</v>
      </c>
      <c r="H24" s="677">
        <f>AMPOP!G29</f>
        <v>16026.6</v>
      </c>
      <c r="I24" s="677">
        <f>AMPOP!H29</f>
        <v>16026.6</v>
      </c>
      <c r="J24" s="678">
        <f>AMPOP!I29</f>
        <v>16026.6</v>
      </c>
      <c r="K24" s="679">
        <f>AMPOP!J29</f>
        <v>16026.6</v>
      </c>
      <c r="L24" s="255">
        <f t="shared" si="16"/>
        <v>0</v>
      </c>
      <c r="M24" s="43">
        <f t="shared" si="17"/>
        <v>0</v>
      </c>
      <c r="N24" s="43">
        <f t="shared" si="18"/>
        <v>0</v>
      </c>
    </row>
    <row r="25" spans="1:14" s="29" customFormat="1" ht="48" customHeight="1">
      <c r="A25" s="193"/>
      <c r="B25" s="229">
        <v>11010</v>
      </c>
      <c r="C25" s="179" t="s">
        <v>245</v>
      </c>
      <c r="D25" s="297" t="s">
        <v>13</v>
      </c>
      <c r="E25" s="36" t="s">
        <v>16</v>
      </c>
      <c r="F25" s="36" t="s">
        <v>15</v>
      </c>
      <c r="G25" s="677">
        <f>AMPOP!F30</f>
        <v>201288.2</v>
      </c>
      <c r="H25" s="677">
        <f>AMPOP!G30</f>
        <v>169524.2</v>
      </c>
      <c r="I25" s="677">
        <f>AMPOP!H30</f>
        <v>169524.2</v>
      </c>
      <c r="J25" s="678">
        <f>AMPOP!I30</f>
        <v>169524.2</v>
      </c>
      <c r="K25" s="679">
        <f>AMPOP!J30</f>
        <v>169524.2</v>
      </c>
      <c r="L25" s="270">
        <f>SUM(L26:L42)</f>
        <v>6728900.4795232015</v>
      </c>
      <c r="M25" s="38">
        <f t="shared" ref="M25:N25" si="20">SUM(M26:M42)</f>
        <v>5383347.8331123209</v>
      </c>
      <c r="N25" s="38">
        <f t="shared" si="20"/>
        <v>5075698.5459232014</v>
      </c>
    </row>
    <row r="26" spans="1:14" ht="32.25" customHeight="1">
      <c r="A26" s="193"/>
      <c r="B26" s="229">
        <v>12001</v>
      </c>
      <c r="C26" s="177" t="s">
        <v>19</v>
      </c>
      <c r="D26" s="297" t="s">
        <v>13</v>
      </c>
      <c r="E26" s="36" t="s">
        <v>16</v>
      </c>
      <c r="F26" s="36" t="s">
        <v>15</v>
      </c>
      <c r="G26" s="677">
        <f>AMPOP!F31</f>
        <v>7000</v>
      </c>
      <c r="H26" s="677">
        <f>AMPOP!G31</f>
        <v>7000</v>
      </c>
      <c r="I26" s="677">
        <f>AMPOP!H31</f>
        <v>7000</v>
      </c>
      <c r="J26" s="678">
        <f>AMPOP!I31</f>
        <v>7000</v>
      </c>
      <c r="K26" s="679">
        <f>AMPOP!J31</f>
        <v>7000</v>
      </c>
      <c r="L26" s="255">
        <f t="shared" si="11"/>
        <v>0</v>
      </c>
      <c r="M26" s="43">
        <f t="shared" si="12"/>
        <v>0</v>
      </c>
      <c r="N26" s="43">
        <f t="shared" ref="N26:N32" si="21">K26-H26</f>
        <v>0</v>
      </c>
    </row>
    <row r="27" spans="1:14" ht="76.5" customHeight="1">
      <c r="A27" s="193"/>
      <c r="B27" s="229">
        <v>12002</v>
      </c>
      <c r="C27" s="179" t="s">
        <v>246</v>
      </c>
      <c r="D27" s="297" t="s">
        <v>13</v>
      </c>
      <c r="E27" s="36" t="s">
        <v>16</v>
      </c>
      <c r="F27" s="36" t="s">
        <v>15</v>
      </c>
      <c r="G27" s="677">
        <f>AMPOP!F32</f>
        <v>0</v>
      </c>
      <c r="H27" s="677">
        <f>AMPOP!G32</f>
        <v>493680</v>
      </c>
      <c r="I27" s="677">
        <f>AMPOP!H32</f>
        <v>516632.78</v>
      </c>
      <c r="J27" s="678">
        <f>AMPOP!I32</f>
        <v>0</v>
      </c>
      <c r="K27" s="679">
        <f>AMPOP!J32</f>
        <v>0</v>
      </c>
      <c r="L27" s="255">
        <f t="shared" si="11"/>
        <v>22952.780000000028</v>
      </c>
      <c r="M27" s="43">
        <f>J27-H27</f>
        <v>-493680</v>
      </c>
      <c r="N27" s="43">
        <f>K27-H27</f>
        <v>-493680</v>
      </c>
    </row>
    <row r="28" spans="1:14" ht="69" customHeight="1" thickBot="1">
      <c r="A28" s="193"/>
      <c r="B28" s="281">
        <v>32001</v>
      </c>
      <c r="C28" s="182" t="s">
        <v>275</v>
      </c>
      <c r="D28" s="298" t="s">
        <v>13</v>
      </c>
      <c r="E28" s="299" t="s">
        <v>16</v>
      </c>
      <c r="F28" s="299" t="s">
        <v>15</v>
      </c>
      <c r="G28" s="683">
        <f>AMPOP!F33</f>
        <v>2994.53</v>
      </c>
      <c r="H28" s="683">
        <f>AMPOP!G33</f>
        <v>669537.69999999995</v>
      </c>
      <c r="I28" s="683">
        <f>AMPOP!H33</f>
        <v>994786.12000000011</v>
      </c>
      <c r="J28" s="684">
        <f>AMPOP!I33</f>
        <v>0</v>
      </c>
      <c r="K28" s="685">
        <f>AMPOP!J33</f>
        <v>0</v>
      </c>
      <c r="L28" s="255">
        <f t="shared" si="11"/>
        <v>325248.42000000016</v>
      </c>
      <c r="M28" s="43">
        <f t="shared" si="12"/>
        <v>-669537.69999999995</v>
      </c>
      <c r="N28" s="43">
        <f t="shared" si="21"/>
        <v>-669537.69999999995</v>
      </c>
    </row>
    <row r="29" spans="1:14" ht="27" customHeight="1" thickBot="1">
      <c r="A29" s="256" t="s">
        <v>247</v>
      </c>
      <c r="B29" s="282"/>
      <c r="C29" s="257" t="s">
        <v>248</v>
      </c>
      <c r="D29" s="666" t="s">
        <v>4</v>
      </c>
      <c r="E29" s="258" t="s">
        <v>4</v>
      </c>
      <c r="F29" s="258" t="s">
        <v>4</v>
      </c>
      <c r="G29" s="686">
        <f>SUM(G30:G38)</f>
        <v>1762448.7199999997</v>
      </c>
      <c r="H29" s="686">
        <f t="shared" ref="H29:K29" si="22">SUM(H30:H38)</f>
        <v>2302948.3999999994</v>
      </c>
      <c r="I29" s="686">
        <f t="shared" si="22"/>
        <v>4825202.8397615999</v>
      </c>
      <c r="J29" s="686">
        <f t="shared" si="22"/>
        <v>4908135.9665561598</v>
      </c>
      <c r="K29" s="687">
        <f t="shared" si="22"/>
        <v>4754311.3229616005</v>
      </c>
      <c r="L29" s="255">
        <f t="shared" si="11"/>
        <v>2522254.4397616005</v>
      </c>
      <c r="M29" s="43">
        <f>J29-H29</f>
        <v>2605187.5665561603</v>
      </c>
      <c r="N29" s="43">
        <f t="shared" si="21"/>
        <v>2451362.9229616011</v>
      </c>
    </row>
    <row r="30" spans="1:14" ht="37.5" customHeight="1">
      <c r="A30" s="259"/>
      <c r="B30" s="283">
        <v>11001</v>
      </c>
      <c r="C30" s="260" t="s">
        <v>249</v>
      </c>
      <c r="D30" s="667" t="s">
        <v>16</v>
      </c>
      <c r="E30" s="261" t="s">
        <v>18</v>
      </c>
      <c r="F30" s="261" t="s">
        <v>18</v>
      </c>
      <c r="G30" s="688">
        <f>AMPOP!F35</f>
        <v>170293.17</v>
      </c>
      <c r="H30" s="688">
        <f>AMPOP!G35</f>
        <v>251232.2</v>
      </c>
      <c r="I30" s="688">
        <f>AMPOP!H35</f>
        <v>255191.03976159997</v>
      </c>
      <c r="J30" s="688">
        <f>AMPOP!I35</f>
        <v>256800.76655616</v>
      </c>
      <c r="K30" s="689">
        <f>AMPOP!J35</f>
        <v>258580.52296159993</v>
      </c>
      <c r="L30" s="255">
        <f t="shared" si="11"/>
        <v>3958.8397615999565</v>
      </c>
      <c r="M30" s="43">
        <f t="shared" si="12"/>
        <v>5568.566556159989</v>
      </c>
      <c r="N30" s="43">
        <f>K30-H30</f>
        <v>7348.3229615999153</v>
      </c>
    </row>
    <row r="31" spans="1:14" ht="21.75" customHeight="1">
      <c r="A31" s="202"/>
      <c r="B31" s="227">
        <v>11002</v>
      </c>
      <c r="C31" s="179" t="s">
        <v>28</v>
      </c>
      <c r="D31" s="296" t="s">
        <v>16</v>
      </c>
      <c r="E31" s="35" t="s">
        <v>18</v>
      </c>
      <c r="F31" s="35" t="s">
        <v>18</v>
      </c>
      <c r="G31" s="690">
        <f>AMPOP!F36</f>
        <v>1170656.3</v>
      </c>
      <c r="H31" s="690">
        <f>AMPOP!G36</f>
        <v>1335485.8999999999</v>
      </c>
      <c r="I31" s="690">
        <f>AMPOP!H36</f>
        <v>1850350.2</v>
      </c>
      <c r="J31" s="690">
        <f>AMPOP!I36</f>
        <v>1850350.2</v>
      </c>
      <c r="K31" s="691">
        <f>AMPOP!J36</f>
        <v>1850350.2</v>
      </c>
      <c r="L31" s="255">
        <f t="shared" si="11"/>
        <v>514864.30000000005</v>
      </c>
      <c r="M31" s="43">
        <f>J31-H31</f>
        <v>514864.30000000005</v>
      </c>
      <c r="N31" s="43">
        <f>K31-H31</f>
        <v>514864.30000000005</v>
      </c>
    </row>
    <row r="32" spans="1:14" ht="24" customHeight="1">
      <c r="A32" s="202"/>
      <c r="B32" s="227">
        <v>11003</v>
      </c>
      <c r="C32" s="179" t="s">
        <v>250</v>
      </c>
      <c r="D32" s="296" t="s">
        <v>16</v>
      </c>
      <c r="E32" s="35" t="s">
        <v>18</v>
      </c>
      <c r="F32" s="35" t="s">
        <v>18</v>
      </c>
      <c r="G32" s="690">
        <f>AMPOP!F37</f>
        <v>11975.67</v>
      </c>
      <c r="H32" s="690">
        <f>AMPOP!G37</f>
        <v>15000</v>
      </c>
      <c r="I32" s="690">
        <f>AMPOP!H37</f>
        <v>15000</v>
      </c>
      <c r="J32" s="690">
        <f>AMPOP!I37</f>
        <v>15000</v>
      </c>
      <c r="K32" s="691">
        <f>AMPOP!J37</f>
        <v>15000</v>
      </c>
      <c r="L32" s="255">
        <f t="shared" si="11"/>
        <v>0</v>
      </c>
      <c r="M32" s="43">
        <f t="shared" si="12"/>
        <v>0</v>
      </c>
      <c r="N32" s="43">
        <f t="shared" si="21"/>
        <v>0</v>
      </c>
    </row>
    <row r="33" spans="1:14" ht="26.25" customHeight="1">
      <c r="A33" s="202"/>
      <c r="B33" s="231">
        <v>11004</v>
      </c>
      <c r="C33" s="178" t="s">
        <v>251</v>
      </c>
      <c r="D33" s="296" t="s">
        <v>16</v>
      </c>
      <c r="E33" s="35" t="s">
        <v>18</v>
      </c>
      <c r="F33" s="35" t="s">
        <v>18</v>
      </c>
      <c r="G33" s="690">
        <f>AMPOP!F38</f>
        <v>10422</v>
      </c>
      <c r="H33" s="690">
        <f>AMPOP!G38</f>
        <v>43710.9</v>
      </c>
      <c r="I33" s="690">
        <f>AMPOP!H38</f>
        <v>76800</v>
      </c>
      <c r="J33" s="690">
        <f>AMPOP!I38</f>
        <v>76800</v>
      </c>
      <c r="K33" s="691">
        <f>AMPOP!J38</f>
        <v>76800</v>
      </c>
      <c r="L33" s="255">
        <f t="shared" si="11"/>
        <v>33089.1</v>
      </c>
      <c r="M33" s="43">
        <f t="shared" ref="M33:M42" si="23">J33-H33</f>
        <v>33089.1</v>
      </c>
      <c r="N33" s="43">
        <f t="shared" ref="N33:N42" si="24">K33-H33</f>
        <v>33089.1</v>
      </c>
    </row>
    <row r="34" spans="1:14" ht="23.25" customHeight="1">
      <c r="A34" s="202"/>
      <c r="B34" s="227">
        <v>11005</v>
      </c>
      <c r="C34" s="179" t="s">
        <v>252</v>
      </c>
      <c r="D34" s="296" t="s">
        <v>16</v>
      </c>
      <c r="E34" s="35" t="s">
        <v>18</v>
      </c>
      <c r="F34" s="35" t="s">
        <v>18</v>
      </c>
      <c r="G34" s="690">
        <f>AMPOP!F39</f>
        <v>49293.9</v>
      </c>
      <c r="H34" s="690">
        <f>AMPOP!G39</f>
        <v>53325.8</v>
      </c>
      <c r="I34" s="690">
        <f>AMPOP!H39</f>
        <v>53325.8</v>
      </c>
      <c r="J34" s="690">
        <f>AMPOP!I39</f>
        <v>53325.8</v>
      </c>
      <c r="K34" s="691">
        <f>AMPOP!J39</f>
        <v>53325.8</v>
      </c>
      <c r="L34" s="255">
        <f t="shared" si="11"/>
        <v>0</v>
      </c>
      <c r="M34" s="43">
        <f t="shared" si="23"/>
        <v>0</v>
      </c>
      <c r="N34" s="43">
        <f t="shared" si="24"/>
        <v>0</v>
      </c>
    </row>
    <row r="35" spans="1:14" ht="35.25" customHeight="1">
      <c r="A35" s="201"/>
      <c r="B35" s="231">
        <v>31001</v>
      </c>
      <c r="C35" s="179" t="s">
        <v>265</v>
      </c>
      <c r="D35" s="296" t="s">
        <v>16</v>
      </c>
      <c r="E35" s="35" t="s">
        <v>18</v>
      </c>
      <c r="F35" s="35" t="s">
        <v>18</v>
      </c>
      <c r="G35" s="690">
        <f>AMPOP!F40</f>
        <v>3499.5</v>
      </c>
      <c r="H35" s="690">
        <f>AMPOP!G40</f>
        <v>3552.8</v>
      </c>
      <c r="I35" s="690">
        <f>AMPOP!H40</f>
        <v>0</v>
      </c>
      <c r="J35" s="690">
        <f>AMPOP!I40</f>
        <v>0</v>
      </c>
      <c r="K35" s="691">
        <f>AMPOP!J40</f>
        <v>0</v>
      </c>
      <c r="L35" s="255">
        <f t="shared" si="11"/>
        <v>-3552.8</v>
      </c>
      <c r="M35" s="43">
        <f t="shared" si="23"/>
        <v>-3552.8</v>
      </c>
      <c r="N35" s="43">
        <f t="shared" si="24"/>
        <v>-3552.8</v>
      </c>
    </row>
    <row r="36" spans="1:14" ht="36" customHeight="1">
      <c r="A36" s="202"/>
      <c r="B36" s="232">
        <v>31003</v>
      </c>
      <c r="C36" s="179" t="s">
        <v>266</v>
      </c>
      <c r="D36" s="296" t="s">
        <v>16</v>
      </c>
      <c r="E36" s="35" t="s">
        <v>18</v>
      </c>
      <c r="F36" s="35" t="s">
        <v>18</v>
      </c>
      <c r="G36" s="690">
        <f>AMPOP!F41</f>
        <v>0</v>
      </c>
      <c r="H36" s="690">
        <f>AMPOP!G41</f>
        <v>61126</v>
      </c>
      <c r="I36" s="690">
        <f>AMPOP!H41</f>
        <v>0</v>
      </c>
      <c r="J36" s="690">
        <f>AMPOP!I41</f>
        <v>0</v>
      </c>
      <c r="K36" s="691">
        <f>AMPOP!J41</f>
        <v>0</v>
      </c>
      <c r="L36" s="255">
        <f t="shared" si="11"/>
        <v>-61126</v>
      </c>
      <c r="M36" s="43">
        <f t="shared" si="23"/>
        <v>-61126</v>
      </c>
      <c r="N36" s="43">
        <f t="shared" si="24"/>
        <v>-61126</v>
      </c>
    </row>
    <row r="37" spans="1:14" ht="23.25" customHeight="1">
      <c r="A37" s="202"/>
      <c r="B37" s="227">
        <v>32001</v>
      </c>
      <c r="C37" s="179" t="s">
        <v>253</v>
      </c>
      <c r="D37" s="296" t="s">
        <v>16</v>
      </c>
      <c r="E37" s="35" t="s">
        <v>18</v>
      </c>
      <c r="F37" s="35" t="s">
        <v>18</v>
      </c>
      <c r="G37" s="690">
        <f>AMPOP!F42</f>
        <v>346308.18</v>
      </c>
      <c r="H37" s="690">
        <f>AMPOP!G42</f>
        <v>413781.5</v>
      </c>
      <c r="I37" s="690">
        <f>AMPOP!H42</f>
        <v>2381608.7000000002</v>
      </c>
      <c r="J37" s="690">
        <f>AMPOP!I42</f>
        <v>2405032.7999999998</v>
      </c>
      <c r="K37" s="691">
        <f>AMPOP!J42</f>
        <v>2248867.9</v>
      </c>
      <c r="L37" s="255">
        <f t="shared" si="11"/>
        <v>1967827.2000000002</v>
      </c>
      <c r="M37" s="43">
        <f t="shared" si="23"/>
        <v>1991251.2999999998</v>
      </c>
      <c r="N37" s="43">
        <f t="shared" si="24"/>
        <v>1835086.4</v>
      </c>
    </row>
    <row r="38" spans="1:14" ht="20.25" customHeight="1" thickBot="1">
      <c r="A38" s="198"/>
      <c r="B38" s="224">
        <v>32002</v>
      </c>
      <c r="C38" s="262" t="s">
        <v>29</v>
      </c>
      <c r="D38" s="668" t="s">
        <v>16</v>
      </c>
      <c r="E38" s="263" t="s">
        <v>18</v>
      </c>
      <c r="F38" s="263" t="s">
        <v>18</v>
      </c>
      <c r="G38" s="692">
        <f>AMPOP!F43</f>
        <v>0</v>
      </c>
      <c r="H38" s="692">
        <f>AMPOP!G43</f>
        <v>125733.3</v>
      </c>
      <c r="I38" s="692">
        <f>AMPOP!H43</f>
        <v>192927.1</v>
      </c>
      <c r="J38" s="692">
        <f>AMPOP!I43</f>
        <v>250826.4</v>
      </c>
      <c r="K38" s="693">
        <f>AMPOP!J43</f>
        <v>251386.9</v>
      </c>
      <c r="L38" s="255">
        <f t="shared" si="11"/>
        <v>67193.8</v>
      </c>
      <c r="M38" s="43">
        <f t="shared" si="23"/>
        <v>125093.09999999999</v>
      </c>
      <c r="N38" s="43">
        <f t="shared" si="24"/>
        <v>125653.59999999999</v>
      </c>
    </row>
    <row r="39" spans="1:14" ht="32.25" customHeight="1" thickBot="1">
      <c r="A39" s="256" t="s">
        <v>254</v>
      </c>
      <c r="B39" s="282"/>
      <c r="C39" s="257" t="s">
        <v>255</v>
      </c>
      <c r="D39" s="666" t="s">
        <v>4</v>
      </c>
      <c r="E39" s="258" t="s">
        <v>4</v>
      </c>
      <c r="F39" s="258" t="s">
        <v>4</v>
      </c>
      <c r="G39" s="686">
        <f>G40+G41</f>
        <v>340305.2</v>
      </c>
      <c r="H39" s="686">
        <f t="shared" ref="H39:K39" si="25">H40+H41</f>
        <v>353377.10000000003</v>
      </c>
      <c r="I39" s="686">
        <f t="shared" si="25"/>
        <v>345322.3</v>
      </c>
      <c r="J39" s="686">
        <f t="shared" si="25"/>
        <v>345322.3</v>
      </c>
      <c r="K39" s="687">
        <f t="shared" si="25"/>
        <v>345322.3</v>
      </c>
      <c r="L39" s="255">
        <f t="shared" si="11"/>
        <v>-8054.8000000000466</v>
      </c>
      <c r="M39" s="43">
        <f t="shared" si="23"/>
        <v>-8054.8000000000466</v>
      </c>
      <c r="N39" s="43">
        <f t="shared" si="24"/>
        <v>-8054.8000000000466</v>
      </c>
    </row>
    <row r="40" spans="1:14" ht="22.5" customHeight="1">
      <c r="A40" s="1824"/>
      <c r="B40" s="283">
        <v>11001</v>
      </c>
      <c r="C40" s="269" t="s">
        <v>255</v>
      </c>
      <c r="D40" s="667" t="s">
        <v>17</v>
      </c>
      <c r="E40" s="261" t="s">
        <v>18</v>
      </c>
      <c r="F40" s="261" t="s">
        <v>18</v>
      </c>
      <c r="G40" s="688">
        <f>AMPOP!F45</f>
        <v>37895.9</v>
      </c>
      <c r="H40" s="688">
        <f>AMPOP!G45</f>
        <v>50604.9</v>
      </c>
      <c r="I40" s="688">
        <f>AMPOP!H45</f>
        <v>42550.1</v>
      </c>
      <c r="J40" s="688">
        <f>AMPOP!I45</f>
        <v>42550.1</v>
      </c>
      <c r="K40" s="689">
        <f>AMPOP!J45</f>
        <v>42550.1</v>
      </c>
      <c r="L40" s="255">
        <f t="shared" si="11"/>
        <v>-8054.8000000000029</v>
      </c>
      <c r="M40" s="43">
        <f t="shared" si="23"/>
        <v>-8054.8000000000029</v>
      </c>
      <c r="N40" s="43">
        <f t="shared" si="24"/>
        <v>-8054.8000000000029</v>
      </c>
    </row>
    <row r="41" spans="1:14" ht="27" customHeight="1" thickBot="1">
      <c r="A41" s="1825"/>
      <c r="B41" s="224">
        <v>11002</v>
      </c>
      <c r="C41" s="217" t="s">
        <v>256</v>
      </c>
      <c r="D41" s="668" t="s">
        <v>17</v>
      </c>
      <c r="E41" s="263" t="s">
        <v>18</v>
      </c>
      <c r="F41" s="263" t="s">
        <v>18</v>
      </c>
      <c r="G41" s="694">
        <f>AMPOP!F46</f>
        <v>302409.3</v>
      </c>
      <c r="H41" s="694">
        <f>AMPOP!G46</f>
        <v>302772.2</v>
      </c>
      <c r="I41" s="694">
        <f>AMPOP!H46</f>
        <v>302772.2</v>
      </c>
      <c r="J41" s="694">
        <f>AMPOP!I46</f>
        <v>302772.2</v>
      </c>
      <c r="K41" s="695">
        <f>AMPOP!J46</f>
        <v>302772.2</v>
      </c>
      <c r="L41" s="255">
        <f t="shared" si="11"/>
        <v>0</v>
      </c>
      <c r="M41" s="43">
        <f t="shared" si="23"/>
        <v>0</v>
      </c>
      <c r="N41" s="43">
        <f t="shared" si="24"/>
        <v>0</v>
      </c>
    </row>
    <row r="42" spans="1:14" ht="27.75" customHeight="1" thickBot="1">
      <c r="A42" s="271">
        <v>1020</v>
      </c>
      <c r="B42" s="284"/>
      <c r="C42" s="287" t="s">
        <v>273</v>
      </c>
      <c r="D42" s="669" t="s">
        <v>4</v>
      </c>
      <c r="E42" s="272" t="s">
        <v>4</v>
      </c>
      <c r="F42" s="272" t="s">
        <v>4</v>
      </c>
      <c r="G42" s="696">
        <f>G43</f>
        <v>0</v>
      </c>
      <c r="H42" s="696">
        <f t="shared" ref="H42:K42" si="26">H43</f>
        <v>0</v>
      </c>
      <c r="I42" s="696">
        <f t="shared" si="26"/>
        <v>1352300</v>
      </c>
      <c r="J42" s="696">
        <f t="shared" si="26"/>
        <v>1352300</v>
      </c>
      <c r="K42" s="697">
        <f t="shared" si="26"/>
        <v>1352300</v>
      </c>
      <c r="L42" s="255">
        <f t="shared" si="11"/>
        <v>1352300</v>
      </c>
      <c r="M42" s="43">
        <f t="shared" si="23"/>
        <v>1352300</v>
      </c>
      <c r="N42" s="43">
        <f t="shared" si="24"/>
        <v>1352300</v>
      </c>
    </row>
    <row r="43" spans="1:14" s="2" customFormat="1" ht="22.5" customHeight="1" thickBot="1">
      <c r="A43" s="273"/>
      <c r="B43" s="285">
        <v>11001</v>
      </c>
      <c r="C43" s="274" t="s">
        <v>273</v>
      </c>
      <c r="D43" s="670" t="s">
        <v>16</v>
      </c>
      <c r="E43" s="275" t="s">
        <v>15</v>
      </c>
      <c r="F43" s="275" t="s">
        <v>15</v>
      </c>
      <c r="G43" s="698"/>
      <c r="H43" s="698"/>
      <c r="I43" s="698">
        <f>AMPOP!H48</f>
        <v>1352300</v>
      </c>
      <c r="J43" s="699">
        <f>AMPOP!I48</f>
        <v>1352300</v>
      </c>
      <c r="K43" s="700">
        <f>AMPOP!J48</f>
        <v>1352300</v>
      </c>
      <c r="L43" s="270" t="e">
        <f>SUM(#REF!)</f>
        <v>#REF!</v>
      </c>
      <c r="M43" s="38" t="e">
        <f>SUM(#REF!)</f>
        <v>#REF!</v>
      </c>
      <c r="N43" s="38" t="e">
        <f>SUM(#REF!)</f>
        <v>#REF!</v>
      </c>
    </row>
    <row r="44" spans="1:14">
      <c r="H44" s="33"/>
      <c r="I44" s="37"/>
      <c r="J44" s="664"/>
      <c r="K44" s="37"/>
    </row>
    <row r="45" spans="1:14">
      <c r="H45" s="33"/>
      <c r="I45" s="37"/>
      <c r="J45" s="664"/>
      <c r="K45" s="37"/>
    </row>
    <row r="46" spans="1:14">
      <c r="H46" s="33"/>
      <c r="I46" s="37"/>
      <c r="J46" s="664"/>
      <c r="K46" s="37"/>
    </row>
    <row r="47" spans="1:14">
      <c r="H47" s="33"/>
      <c r="I47" s="37"/>
      <c r="J47" s="664"/>
      <c r="K47" s="37"/>
    </row>
    <row r="48" spans="1:14">
      <c r="H48" s="33"/>
      <c r="I48" s="37"/>
      <c r="J48" s="664"/>
      <c r="K48" s="37"/>
    </row>
    <row r="49" spans="2:14">
      <c r="H49" s="33"/>
      <c r="I49" s="37"/>
      <c r="J49" s="664"/>
      <c r="K49" s="37"/>
    </row>
    <row r="50" spans="2:14">
      <c r="H50" s="33"/>
      <c r="I50" s="37"/>
      <c r="J50" s="664"/>
      <c r="K50" s="37"/>
    </row>
    <row r="51" spans="2:14">
      <c r="H51" s="33"/>
      <c r="I51" s="37"/>
      <c r="J51" s="664"/>
      <c r="K51" s="37"/>
    </row>
    <row r="52" spans="2:14">
      <c r="H52" s="33"/>
      <c r="I52" s="37"/>
      <c r="J52" s="664"/>
      <c r="K52" s="37"/>
    </row>
    <row r="53" spans="2:14">
      <c r="H53" s="33"/>
      <c r="I53" s="37"/>
      <c r="J53" s="664"/>
      <c r="K53" s="37"/>
    </row>
    <row r="54" spans="2:14">
      <c r="H54" s="33"/>
      <c r="I54" s="37"/>
      <c r="J54" s="664"/>
      <c r="K54" s="37"/>
    </row>
    <row r="55" spans="2:14">
      <c r="B55" s="30"/>
      <c r="C55" s="30"/>
      <c r="G55" s="30"/>
      <c r="H55" s="33"/>
      <c r="I55" s="37"/>
      <c r="J55" s="664"/>
      <c r="K55" s="37"/>
      <c r="L55" s="30"/>
      <c r="M55" s="30"/>
      <c r="N55" s="30"/>
    </row>
    <row r="56" spans="2:14">
      <c r="B56" s="30"/>
      <c r="C56" s="30"/>
      <c r="G56" s="30"/>
      <c r="H56" s="33"/>
      <c r="I56" s="37"/>
      <c r="J56" s="664"/>
      <c r="K56" s="37"/>
      <c r="L56" s="30"/>
      <c r="M56" s="30"/>
      <c r="N56" s="30"/>
    </row>
    <row r="57" spans="2:14">
      <c r="B57" s="30"/>
      <c r="C57" s="30"/>
      <c r="G57" s="30"/>
      <c r="H57" s="33"/>
      <c r="I57" s="37"/>
      <c r="J57" s="664"/>
      <c r="K57" s="37"/>
      <c r="L57" s="30"/>
      <c r="M57" s="30"/>
      <c r="N57" s="30"/>
    </row>
    <row r="58" spans="2:14">
      <c r="B58" s="30"/>
      <c r="C58" s="30"/>
      <c r="G58" s="30"/>
      <c r="H58" s="33"/>
      <c r="I58" s="37"/>
      <c r="J58" s="664"/>
      <c r="K58" s="37"/>
      <c r="L58" s="30"/>
      <c r="M58" s="30"/>
      <c r="N58" s="30"/>
    </row>
    <row r="59" spans="2:14">
      <c r="B59" s="30"/>
      <c r="C59" s="30"/>
      <c r="G59" s="30"/>
      <c r="H59" s="33"/>
      <c r="I59" s="37"/>
      <c r="J59" s="664"/>
      <c r="K59" s="37"/>
      <c r="L59" s="30"/>
      <c r="M59" s="30"/>
      <c r="N59" s="30"/>
    </row>
    <row r="60" spans="2:14">
      <c r="B60" s="30"/>
      <c r="C60" s="30"/>
      <c r="G60" s="30"/>
      <c r="H60" s="33"/>
      <c r="I60" s="37"/>
      <c r="J60" s="664"/>
      <c r="K60" s="37"/>
      <c r="L60" s="30"/>
      <c r="M60" s="30"/>
      <c r="N60" s="30"/>
    </row>
    <row r="61" spans="2:14">
      <c r="B61" s="30"/>
      <c r="C61" s="30"/>
      <c r="G61" s="30"/>
      <c r="H61" s="33"/>
      <c r="I61" s="37"/>
      <c r="J61" s="664"/>
      <c r="K61" s="37"/>
      <c r="L61" s="30"/>
      <c r="M61" s="30"/>
      <c r="N61" s="30"/>
    </row>
    <row r="62" spans="2:14">
      <c r="B62" s="30"/>
      <c r="C62" s="30"/>
      <c r="G62" s="30"/>
      <c r="H62" s="33"/>
      <c r="I62" s="37"/>
      <c r="J62" s="664"/>
      <c r="K62" s="37"/>
      <c r="L62" s="30"/>
      <c r="M62" s="30"/>
      <c r="N62" s="30"/>
    </row>
    <row r="63" spans="2:14">
      <c r="B63" s="30"/>
      <c r="C63" s="30"/>
      <c r="G63" s="30"/>
      <c r="H63" s="33"/>
      <c r="I63" s="37"/>
      <c r="J63" s="664"/>
      <c r="K63" s="37"/>
      <c r="L63" s="30"/>
      <c r="M63" s="30"/>
      <c r="N63" s="30"/>
    </row>
    <row r="64" spans="2:14">
      <c r="B64" s="30"/>
      <c r="C64" s="30"/>
      <c r="G64" s="30"/>
      <c r="H64" s="33"/>
      <c r="I64" s="37"/>
      <c r="J64" s="664"/>
      <c r="K64" s="37"/>
      <c r="L64" s="30"/>
      <c r="M64" s="30"/>
      <c r="N64" s="30"/>
    </row>
    <row r="65" spans="2:14">
      <c r="B65" s="30"/>
      <c r="C65" s="30"/>
      <c r="G65" s="30"/>
      <c r="H65" s="33"/>
      <c r="I65" s="37"/>
      <c r="J65" s="664"/>
      <c r="K65" s="37"/>
      <c r="L65" s="30"/>
      <c r="M65" s="30"/>
      <c r="N65" s="30"/>
    </row>
    <row r="66" spans="2:14">
      <c r="B66" s="30"/>
      <c r="C66" s="30"/>
      <c r="G66" s="30"/>
      <c r="H66" s="33"/>
      <c r="I66" s="37"/>
      <c r="J66" s="664"/>
      <c r="K66" s="37"/>
      <c r="L66" s="30"/>
      <c r="M66" s="30"/>
      <c r="N66" s="30"/>
    </row>
    <row r="67" spans="2:14">
      <c r="B67" s="30"/>
      <c r="C67" s="30"/>
      <c r="G67" s="30"/>
      <c r="H67" s="33"/>
      <c r="I67" s="37"/>
      <c r="J67" s="664"/>
      <c r="K67" s="37"/>
      <c r="L67" s="30"/>
      <c r="M67" s="30"/>
      <c r="N67" s="30"/>
    </row>
    <row r="68" spans="2:14">
      <c r="B68" s="30"/>
      <c r="C68" s="30"/>
      <c r="G68" s="30"/>
      <c r="H68" s="33"/>
      <c r="I68" s="37"/>
      <c r="J68" s="664"/>
      <c r="K68" s="37"/>
      <c r="L68" s="30"/>
      <c r="M68" s="30"/>
      <c r="N68" s="30"/>
    </row>
    <row r="69" spans="2:14">
      <c r="B69" s="30"/>
      <c r="C69" s="30"/>
      <c r="G69" s="30"/>
      <c r="H69" s="33"/>
      <c r="I69" s="37"/>
      <c r="J69" s="664"/>
      <c r="K69" s="37"/>
      <c r="L69" s="30"/>
      <c r="M69" s="30"/>
      <c r="N69" s="30"/>
    </row>
    <row r="70" spans="2:14">
      <c r="B70" s="30"/>
      <c r="C70" s="30"/>
      <c r="G70" s="30"/>
      <c r="H70" s="33"/>
      <c r="I70" s="37"/>
      <c r="J70" s="664"/>
      <c r="K70" s="37"/>
      <c r="L70" s="30"/>
      <c r="M70" s="30"/>
      <c r="N70" s="30"/>
    </row>
    <row r="71" spans="2:14">
      <c r="B71" s="30"/>
      <c r="C71" s="30"/>
      <c r="G71" s="30"/>
      <c r="H71" s="33"/>
      <c r="I71" s="37"/>
      <c r="J71" s="664"/>
      <c r="K71" s="37"/>
      <c r="L71" s="30"/>
      <c r="M71" s="30"/>
      <c r="N71" s="30"/>
    </row>
    <row r="72" spans="2:14">
      <c r="B72" s="30"/>
      <c r="C72" s="30"/>
      <c r="G72" s="30"/>
      <c r="H72" s="33"/>
      <c r="I72" s="37"/>
      <c r="J72" s="664"/>
      <c r="K72" s="37"/>
      <c r="L72" s="30"/>
      <c r="M72" s="30"/>
      <c r="N72" s="30"/>
    </row>
    <row r="73" spans="2:14">
      <c r="B73" s="30"/>
      <c r="C73" s="30"/>
      <c r="G73" s="30"/>
      <c r="H73" s="33"/>
      <c r="I73" s="37"/>
      <c r="J73" s="664"/>
      <c r="K73" s="37"/>
      <c r="L73" s="30"/>
      <c r="M73" s="30"/>
      <c r="N73" s="30"/>
    </row>
    <row r="74" spans="2:14">
      <c r="B74" s="30"/>
      <c r="C74" s="30"/>
      <c r="G74" s="30"/>
      <c r="H74" s="33"/>
      <c r="I74" s="37"/>
      <c r="J74" s="664"/>
      <c r="K74" s="37"/>
      <c r="L74" s="30"/>
      <c r="M74" s="30"/>
      <c r="N74" s="30"/>
    </row>
    <row r="75" spans="2:14">
      <c r="B75" s="30"/>
      <c r="C75" s="30"/>
      <c r="G75" s="30"/>
      <c r="H75" s="33"/>
      <c r="I75" s="37"/>
      <c r="J75" s="664"/>
      <c r="K75" s="37"/>
      <c r="L75" s="30"/>
      <c r="M75" s="30"/>
      <c r="N75" s="30"/>
    </row>
    <row r="76" spans="2:14">
      <c r="B76" s="30"/>
      <c r="C76" s="30"/>
      <c r="G76" s="30"/>
      <c r="H76" s="33"/>
      <c r="I76" s="37"/>
      <c r="J76" s="664"/>
      <c r="K76" s="37"/>
      <c r="L76" s="30"/>
      <c r="M76" s="30"/>
      <c r="N76" s="30"/>
    </row>
    <row r="77" spans="2:14">
      <c r="B77" s="30"/>
      <c r="C77" s="30"/>
      <c r="G77" s="30"/>
      <c r="H77" s="33"/>
      <c r="I77" s="37"/>
      <c r="J77" s="664"/>
      <c r="K77" s="37"/>
      <c r="L77" s="30"/>
      <c r="M77" s="30"/>
      <c r="N77" s="30"/>
    </row>
    <row r="78" spans="2:14">
      <c r="B78" s="30"/>
      <c r="C78" s="30"/>
      <c r="G78" s="30"/>
      <c r="H78" s="33"/>
      <c r="I78" s="37"/>
      <c r="J78" s="664"/>
      <c r="K78" s="37"/>
      <c r="L78" s="30"/>
      <c r="M78" s="30"/>
      <c r="N78" s="30"/>
    </row>
    <row r="79" spans="2:14">
      <c r="B79" s="30"/>
      <c r="C79" s="30"/>
      <c r="G79" s="30"/>
      <c r="H79" s="33"/>
      <c r="I79" s="37"/>
      <c r="J79" s="664"/>
      <c r="K79" s="37"/>
      <c r="L79" s="30"/>
      <c r="M79" s="30"/>
      <c r="N79" s="30"/>
    </row>
    <row r="80" spans="2:14">
      <c r="B80" s="30"/>
      <c r="C80" s="30"/>
      <c r="G80" s="30"/>
      <c r="H80" s="33"/>
      <c r="I80" s="37"/>
      <c r="J80" s="664"/>
      <c r="K80" s="37"/>
      <c r="L80" s="30"/>
      <c r="M80" s="30"/>
      <c r="N80" s="30"/>
    </row>
    <row r="81" spans="2:14">
      <c r="B81" s="30"/>
      <c r="C81" s="30"/>
      <c r="G81" s="30"/>
      <c r="H81" s="33"/>
      <c r="I81" s="37"/>
      <c r="J81" s="664"/>
      <c r="K81" s="37"/>
      <c r="L81" s="30"/>
      <c r="M81" s="30"/>
      <c r="N81" s="30"/>
    </row>
    <row r="82" spans="2:14">
      <c r="B82" s="30"/>
      <c r="C82" s="30"/>
      <c r="G82" s="30"/>
      <c r="H82" s="33"/>
      <c r="I82" s="37"/>
      <c r="J82" s="664"/>
      <c r="K82" s="37"/>
      <c r="L82" s="30"/>
      <c r="M82" s="30"/>
      <c r="N82" s="30"/>
    </row>
    <row r="83" spans="2:14">
      <c r="B83" s="30"/>
      <c r="C83" s="30"/>
      <c r="G83" s="30"/>
      <c r="H83" s="33"/>
      <c r="I83" s="37"/>
      <c r="J83" s="664"/>
      <c r="K83" s="37"/>
      <c r="L83" s="30"/>
      <c r="M83" s="30"/>
      <c r="N83" s="30"/>
    </row>
    <row r="84" spans="2:14">
      <c r="B84" s="30"/>
      <c r="C84" s="30"/>
      <c r="G84" s="30"/>
      <c r="H84" s="33"/>
      <c r="I84" s="37"/>
      <c r="J84" s="664"/>
      <c r="K84" s="37"/>
      <c r="L84" s="30"/>
      <c r="M84" s="30"/>
      <c r="N84" s="30"/>
    </row>
    <row r="85" spans="2:14">
      <c r="B85" s="30"/>
      <c r="C85" s="30"/>
      <c r="G85" s="30"/>
      <c r="H85" s="33"/>
      <c r="I85" s="37"/>
      <c r="J85" s="664"/>
      <c r="K85" s="37"/>
      <c r="L85" s="30"/>
      <c r="M85" s="30"/>
      <c r="N85" s="30"/>
    </row>
    <row r="86" spans="2:14">
      <c r="B86" s="30"/>
      <c r="C86" s="30"/>
      <c r="G86" s="30"/>
      <c r="H86" s="33"/>
      <c r="I86" s="37"/>
      <c r="J86" s="664"/>
      <c r="K86" s="37"/>
      <c r="L86" s="30"/>
      <c r="M86" s="30"/>
      <c r="N86" s="30"/>
    </row>
    <row r="87" spans="2:14">
      <c r="B87" s="30"/>
      <c r="C87" s="30"/>
      <c r="G87" s="30"/>
      <c r="H87" s="33"/>
      <c r="I87" s="37"/>
      <c r="J87" s="664"/>
      <c r="K87" s="37"/>
      <c r="L87" s="30"/>
      <c r="M87" s="30"/>
      <c r="N87" s="30"/>
    </row>
    <row r="88" spans="2:14">
      <c r="B88" s="30"/>
      <c r="C88" s="30"/>
      <c r="G88" s="30"/>
      <c r="H88" s="33"/>
      <c r="I88" s="37"/>
      <c r="J88" s="664"/>
      <c r="K88" s="37"/>
      <c r="L88" s="30"/>
      <c r="M88" s="30"/>
      <c r="N88" s="30"/>
    </row>
    <row r="89" spans="2:14">
      <c r="B89" s="30"/>
      <c r="C89" s="30"/>
      <c r="G89" s="30"/>
      <c r="H89" s="33"/>
      <c r="I89" s="37"/>
      <c r="J89" s="664"/>
      <c r="K89" s="37"/>
      <c r="L89" s="30"/>
      <c r="M89" s="30"/>
      <c r="N89" s="30"/>
    </row>
    <row r="90" spans="2:14">
      <c r="B90" s="30"/>
      <c r="C90" s="30"/>
      <c r="G90" s="30"/>
      <c r="H90" s="33"/>
      <c r="I90" s="37"/>
      <c r="J90" s="664"/>
      <c r="K90" s="37"/>
      <c r="L90" s="30"/>
      <c r="M90" s="30"/>
      <c r="N90" s="30"/>
    </row>
    <row r="91" spans="2:14">
      <c r="B91" s="30"/>
      <c r="C91" s="30"/>
      <c r="G91" s="30"/>
      <c r="H91" s="33"/>
      <c r="I91" s="37"/>
      <c r="J91" s="664"/>
      <c r="K91" s="37"/>
      <c r="L91" s="30"/>
      <c r="M91" s="30"/>
      <c r="N91" s="30"/>
    </row>
    <row r="92" spans="2:14">
      <c r="B92" s="30"/>
      <c r="C92" s="30"/>
      <c r="G92" s="30"/>
      <c r="H92" s="33"/>
      <c r="I92" s="37"/>
      <c r="J92" s="664"/>
      <c r="K92" s="37"/>
      <c r="L92" s="30"/>
      <c r="M92" s="30"/>
      <c r="N92" s="30"/>
    </row>
    <row r="93" spans="2:14">
      <c r="B93" s="30"/>
      <c r="C93" s="30"/>
      <c r="G93" s="30"/>
      <c r="H93" s="33"/>
      <c r="I93" s="37"/>
      <c r="J93" s="664"/>
      <c r="K93" s="37"/>
      <c r="L93" s="30"/>
      <c r="M93" s="30"/>
      <c r="N93" s="30"/>
    </row>
    <row r="94" spans="2:14">
      <c r="B94" s="30"/>
      <c r="C94" s="30"/>
      <c r="G94" s="30"/>
      <c r="H94" s="33"/>
      <c r="I94" s="37"/>
      <c r="J94" s="664"/>
      <c r="K94" s="37"/>
      <c r="L94" s="30"/>
      <c r="M94" s="30"/>
      <c r="N94" s="30"/>
    </row>
    <row r="95" spans="2:14">
      <c r="B95" s="30"/>
      <c r="C95" s="30"/>
      <c r="G95" s="30"/>
      <c r="H95" s="33"/>
      <c r="I95" s="37"/>
      <c r="J95" s="664"/>
      <c r="K95" s="37"/>
      <c r="L95" s="30"/>
      <c r="M95" s="30"/>
      <c r="N95" s="30"/>
    </row>
    <row r="96" spans="2:14">
      <c r="B96" s="30"/>
      <c r="C96" s="30"/>
      <c r="G96" s="30"/>
      <c r="H96" s="33"/>
      <c r="I96" s="37"/>
      <c r="J96" s="664"/>
      <c r="K96" s="37"/>
      <c r="L96" s="30"/>
      <c r="M96" s="30"/>
      <c r="N96" s="30"/>
    </row>
    <row r="97" spans="2:14">
      <c r="B97" s="30"/>
      <c r="C97" s="30"/>
      <c r="G97" s="30"/>
      <c r="H97" s="33"/>
      <c r="I97" s="37"/>
      <c r="J97" s="664"/>
      <c r="K97" s="37"/>
      <c r="L97" s="30"/>
      <c r="M97" s="30"/>
      <c r="N97" s="30"/>
    </row>
    <row r="98" spans="2:14">
      <c r="B98" s="30"/>
      <c r="C98" s="30"/>
      <c r="G98" s="30"/>
      <c r="H98" s="33"/>
      <c r="I98" s="37"/>
      <c r="J98" s="664"/>
      <c r="K98" s="37"/>
      <c r="L98" s="30"/>
      <c r="M98" s="30"/>
      <c r="N98" s="30"/>
    </row>
    <row r="99" spans="2:14">
      <c r="B99" s="30"/>
      <c r="C99" s="30"/>
      <c r="G99" s="30"/>
      <c r="H99" s="33"/>
      <c r="I99" s="37"/>
      <c r="J99" s="664"/>
      <c r="K99" s="37"/>
      <c r="L99" s="30"/>
      <c r="M99" s="30"/>
      <c r="N99" s="30"/>
    </row>
    <row r="100" spans="2:14">
      <c r="B100" s="30"/>
      <c r="C100" s="30"/>
      <c r="G100" s="30"/>
      <c r="H100" s="33"/>
      <c r="I100" s="37"/>
      <c r="J100" s="664"/>
      <c r="K100" s="37"/>
      <c r="L100" s="30"/>
      <c r="M100" s="30"/>
      <c r="N100" s="30"/>
    </row>
    <row r="101" spans="2:14">
      <c r="B101" s="30"/>
      <c r="C101" s="30"/>
      <c r="G101" s="30"/>
      <c r="H101" s="33"/>
      <c r="I101" s="37"/>
      <c r="J101" s="664"/>
      <c r="K101" s="37"/>
      <c r="L101" s="30"/>
      <c r="M101" s="30"/>
      <c r="N101" s="30"/>
    </row>
    <row r="102" spans="2:14">
      <c r="B102" s="30"/>
      <c r="C102" s="30"/>
      <c r="G102" s="30"/>
      <c r="H102" s="33"/>
      <c r="I102" s="37"/>
      <c r="J102" s="664"/>
      <c r="K102" s="37"/>
      <c r="L102" s="30"/>
      <c r="M102" s="30"/>
      <c r="N102" s="30"/>
    </row>
    <row r="103" spans="2:14">
      <c r="B103" s="30"/>
      <c r="C103" s="30"/>
      <c r="G103" s="30"/>
      <c r="H103" s="33"/>
      <c r="I103" s="37"/>
      <c r="J103" s="664"/>
      <c r="K103" s="37"/>
      <c r="L103" s="30"/>
      <c r="M103" s="30"/>
      <c r="N103" s="30"/>
    </row>
    <row r="104" spans="2:14">
      <c r="B104" s="30"/>
      <c r="C104" s="30"/>
      <c r="G104" s="30"/>
      <c r="H104" s="33"/>
      <c r="I104" s="37"/>
      <c r="J104" s="664"/>
      <c r="K104" s="37"/>
      <c r="L104" s="30"/>
      <c r="M104" s="30"/>
      <c r="N104" s="30"/>
    </row>
    <row r="105" spans="2:14">
      <c r="B105" s="30"/>
      <c r="C105" s="30"/>
      <c r="G105" s="30"/>
      <c r="H105" s="33"/>
      <c r="I105" s="37"/>
      <c r="J105" s="664"/>
      <c r="K105" s="37"/>
      <c r="L105" s="30"/>
      <c r="M105" s="30"/>
      <c r="N105" s="30"/>
    </row>
    <row r="106" spans="2:14">
      <c r="B106" s="30"/>
      <c r="C106" s="30"/>
      <c r="G106" s="30"/>
      <c r="H106" s="33"/>
      <c r="I106" s="37"/>
      <c r="J106" s="664"/>
      <c r="K106" s="37"/>
      <c r="L106" s="30"/>
      <c r="M106" s="30"/>
      <c r="N106" s="30"/>
    </row>
    <row r="107" spans="2:14">
      <c r="B107" s="30"/>
      <c r="C107" s="30"/>
      <c r="G107" s="30"/>
      <c r="H107" s="33"/>
      <c r="I107" s="37"/>
      <c r="J107" s="664"/>
      <c r="K107" s="37"/>
      <c r="L107" s="30"/>
      <c r="M107" s="30"/>
      <c r="N107" s="30"/>
    </row>
    <row r="108" spans="2:14">
      <c r="B108" s="30"/>
      <c r="C108" s="30"/>
      <c r="G108" s="30"/>
      <c r="H108" s="33"/>
      <c r="I108" s="37"/>
      <c r="J108" s="664"/>
      <c r="K108" s="37"/>
      <c r="L108" s="30"/>
      <c r="M108" s="30"/>
      <c r="N108" s="30"/>
    </row>
    <row r="109" spans="2:14">
      <c r="B109" s="30"/>
      <c r="C109" s="30"/>
      <c r="G109" s="30"/>
      <c r="H109" s="33"/>
      <c r="I109" s="37"/>
      <c r="J109" s="664"/>
      <c r="K109" s="37"/>
      <c r="L109" s="30"/>
      <c r="M109" s="30"/>
      <c r="N109" s="30"/>
    </row>
    <row r="110" spans="2:14">
      <c r="B110" s="30"/>
      <c r="C110" s="30"/>
      <c r="G110" s="30"/>
      <c r="H110" s="33"/>
      <c r="I110" s="37"/>
      <c r="J110" s="664"/>
      <c r="K110" s="37"/>
      <c r="L110" s="30"/>
      <c r="M110" s="30"/>
      <c r="N110" s="30"/>
    </row>
    <row r="111" spans="2:14">
      <c r="B111" s="30"/>
      <c r="C111" s="30"/>
      <c r="G111" s="30"/>
      <c r="H111" s="33"/>
      <c r="I111" s="37"/>
      <c r="J111" s="664"/>
      <c r="K111" s="37"/>
      <c r="L111" s="30"/>
      <c r="M111" s="30"/>
      <c r="N111" s="30"/>
    </row>
    <row r="112" spans="2:14">
      <c r="B112" s="30"/>
      <c r="C112" s="30"/>
      <c r="G112" s="30"/>
      <c r="H112" s="33"/>
      <c r="I112" s="37"/>
      <c r="J112" s="664"/>
      <c r="K112" s="37"/>
      <c r="L112" s="30"/>
      <c r="M112" s="30"/>
      <c r="N112" s="30"/>
    </row>
    <row r="113" spans="2:14">
      <c r="B113" s="30"/>
      <c r="C113" s="30"/>
      <c r="G113" s="30"/>
      <c r="H113" s="33"/>
      <c r="I113" s="37"/>
      <c r="J113" s="664"/>
      <c r="K113" s="37"/>
      <c r="L113" s="30"/>
      <c r="M113" s="30"/>
      <c r="N113" s="30"/>
    </row>
    <row r="114" spans="2:14">
      <c r="B114" s="30"/>
      <c r="C114" s="30"/>
      <c r="G114" s="30"/>
      <c r="H114" s="33"/>
      <c r="I114" s="37"/>
      <c r="J114" s="664"/>
      <c r="K114" s="37"/>
      <c r="L114" s="30"/>
      <c r="M114" s="30"/>
      <c r="N114" s="30"/>
    </row>
    <row r="115" spans="2:14">
      <c r="B115" s="30"/>
      <c r="C115" s="30"/>
      <c r="G115" s="30"/>
      <c r="H115" s="33"/>
      <c r="I115" s="37"/>
      <c r="J115" s="664"/>
      <c r="K115" s="37"/>
      <c r="L115" s="30"/>
      <c r="M115" s="30"/>
      <c r="N115" s="30"/>
    </row>
    <row r="116" spans="2:14">
      <c r="B116" s="30"/>
      <c r="C116" s="30"/>
      <c r="G116" s="30"/>
      <c r="H116" s="33"/>
      <c r="I116" s="37"/>
      <c r="J116" s="664"/>
      <c r="K116" s="37"/>
      <c r="L116" s="30"/>
      <c r="M116" s="30"/>
      <c r="N116" s="30"/>
    </row>
    <row r="117" spans="2:14">
      <c r="B117" s="30"/>
      <c r="C117" s="30"/>
      <c r="G117" s="30"/>
      <c r="H117" s="33"/>
      <c r="I117" s="37"/>
      <c r="J117" s="664"/>
      <c r="K117" s="37"/>
      <c r="L117" s="30"/>
      <c r="M117" s="30"/>
      <c r="N117" s="30"/>
    </row>
    <row r="118" spans="2:14">
      <c r="B118" s="30"/>
      <c r="C118" s="30"/>
      <c r="G118" s="30"/>
      <c r="H118" s="33"/>
      <c r="I118" s="37"/>
      <c r="J118" s="664"/>
      <c r="K118" s="37"/>
      <c r="L118" s="30"/>
      <c r="M118" s="30"/>
      <c r="N118" s="30"/>
    </row>
    <row r="119" spans="2:14">
      <c r="B119" s="30"/>
      <c r="C119" s="30"/>
      <c r="G119" s="30"/>
      <c r="H119" s="33"/>
      <c r="I119" s="37"/>
      <c r="J119" s="664"/>
      <c r="K119" s="37"/>
      <c r="L119" s="30"/>
      <c r="M119" s="30"/>
      <c r="N119" s="30"/>
    </row>
    <row r="120" spans="2:14">
      <c r="B120" s="30"/>
      <c r="C120" s="30"/>
      <c r="G120" s="30"/>
      <c r="H120" s="33"/>
      <c r="I120" s="37"/>
      <c r="J120" s="664"/>
      <c r="K120" s="37"/>
      <c r="L120" s="30"/>
      <c r="M120" s="30"/>
      <c r="N120" s="30"/>
    </row>
    <row r="121" spans="2:14">
      <c r="B121" s="30"/>
      <c r="C121" s="30"/>
      <c r="G121" s="30"/>
      <c r="H121" s="33"/>
      <c r="I121" s="37"/>
      <c r="J121" s="664"/>
      <c r="K121" s="37"/>
      <c r="L121" s="30"/>
      <c r="M121" s="30"/>
      <c r="N121" s="30"/>
    </row>
    <row r="122" spans="2:14">
      <c r="B122" s="30"/>
      <c r="C122" s="30"/>
      <c r="G122" s="30"/>
      <c r="H122" s="33"/>
      <c r="I122" s="37"/>
      <c r="J122" s="664"/>
      <c r="K122" s="37"/>
      <c r="L122" s="30"/>
      <c r="M122" s="30"/>
      <c r="N122" s="30"/>
    </row>
    <row r="123" spans="2:14">
      <c r="B123" s="30"/>
      <c r="C123" s="30"/>
      <c r="G123" s="30"/>
      <c r="H123" s="33"/>
      <c r="I123" s="37"/>
      <c r="J123" s="664"/>
      <c r="K123" s="37"/>
      <c r="L123" s="30"/>
      <c r="M123" s="30"/>
      <c r="N123" s="30"/>
    </row>
    <row r="124" spans="2:14">
      <c r="B124" s="30"/>
      <c r="C124" s="30"/>
      <c r="G124" s="30"/>
      <c r="H124" s="33"/>
      <c r="I124" s="37"/>
      <c r="J124" s="664"/>
      <c r="K124" s="37"/>
      <c r="L124" s="30"/>
      <c r="M124" s="30"/>
      <c r="N124" s="30"/>
    </row>
    <row r="125" spans="2:14">
      <c r="B125" s="30"/>
      <c r="C125" s="30"/>
      <c r="G125" s="30"/>
      <c r="H125" s="33"/>
      <c r="I125" s="37"/>
      <c r="J125" s="664"/>
      <c r="K125" s="37"/>
      <c r="L125" s="30"/>
      <c r="M125" s="30"/>
      <c r="N125" s="30"/>
    </row>
    <row r="126" spans="2:14">
      <c r="B126" s="30"/>
      <c r="C126" s="30"/>
      <c r="G126" s="30"/>
      <c r="H126" s="33"/>
      <c r="I126" s="37"/>
      <c r="J126" s="664"/>
      <c r="K126" s="37"/>
      <c r="L126" s="30"/>
      <c r="M126" s="30"/>
      <c r="N126" s="30"/>
    </row>
    <row r="127" spans="2:14">
      <c r="B127" s="30"/>
      <c r="C127" s="30"/>
      <c r="G127" s="30"/>
      <c r="H127" s="33"/>
      <c r="I127" s="37"/>
      <c r="J127" s="664"/>
      <c r="K127" s="37"/>
      <c r="L127" s="30"/>
      <c r="M127" s="30"/>
      <c r="N127" s="30"/>
    </row>
    <row r="128" spans="2:14">
      <c r="B128" s="30"/>
      <c r="C128" s="30"/>
      <c r="G128" s="30"/>
      <c r="H128" s="33"/>
      <c r="I128" s="37"/>
      <c r="J128" s="664"/>
      <c r="K128" s="37"/>
      <c r="L128" s="30"/>
      <c r="M128" s="30"/>
      <c r="N128" s="30"/>
    </row>
    <row r="129" spans="2:14">
      <c r="B129" s="30"/>
      <c r="C129" s="30"/>
      <c r="G129" s="30"/>
      <c r="H129" s="33"/>
      <c r="I129" s="37"/>
      <c r="J129" s="664"/>
      <c r="K129" s="37"/>
      <c r="L129" s="30"/>
      <c r="M129" s="30"/>
      <c r="N129" s="30"/>
    </row>
    <row r="130" spans="2:14">
      <c r="B130" s="30"/>
      <c r="C130" s="30"/>
      <c r="G130" s="30"/>
      <c r="H130" s="33"/>
      <c r="I130" s="37"/>
      <c r="J130" s="664"/>
      <c r="K130" s="37"/>
      <c r="L130" s="30"/>
      <c r="M130" s="30"/>
      <c r="N130" s="30"/>
    </row>
    <row r="131" spans="2:14">
      <c r="B131" s="30"/>
      <c r="C131" s="30"/>
      <c r="G131" s="30"/>
      <c r="H131" s="33"/>
      <c r="I131" s="37"/>
      <c r="J131" s="664"/>
      <c r="K131" s="37"/>
      <c r="L131" s="30"/>
      <c r="M131" s="30"/>
      <c r="N131" s="30"/>
    </row>
    <row r="132" spans="2:14">
      <c r="B132" s="30"/>
      <c r="C132" s="30"/>
      <c r="G132" s="30"/>
      <c r="H132" s="33"/>
      <c r="I132" s="37"/>
      <c r="J132" s="664"/>
      <c r="K132" s="37"/>
      <c r="L132" s="30"/>
      <c r="M132" s="30"/>
      <c r="N132" s="30"/>
    </row>
    <row r="133" spans="2:14">
      <c r="B133" s="30"/>
      <c r="C133" s="30"/>
      <c r="G133" s="30"/>
      <c r="H133" s="33"/>
      <c r="I133" s="37"/>
      <c r="J133" s="664"/>
      <c r="K133" s="37"/>
      <c r="L133" s="30"/>
      <c r="M133" s="30"/>
      <c r="N133" s="30"/>
    </row>
    <row r="134" spans="2:14">
      <c r="B134" s="30"/>
      <c r="C134" s="30"/>
      <c r="G134" s="30"/>
      <c r="H134" s="33"/>
      <c r="I134" s="37"/>
      <c r="J134" s="664"/>
      <c r="K134" s="37"/>
      <c r="L134" s="30"/>
      <c r="M134" s="30"/>
      <c r="N134" s="30"/>
    </row>
    <row r="135" spans="2:14">
      <c r="B135" s="30"/>
      <c r="C135" s="30"/>
      <c r="G135" s="30"/>
      <c r="H135" s="33"/>
      <c r="I135" s="37"/>
      <c r="J135" s="664"/>
      <c r="K135" s="37"/>
      <c r="L135" s="30"/>
      <c r="M135" s="30"/>
      <c r="N135" s="30"/>
    </row>
    <row r="136" spans="2:14">
      <c r="B136" s="30"/>
      <c r="C136" s="30"/>
      <c r="G136" s="30"/>
      <c r="H136" s="33"/>
      <c r="I136" s="37"/>
      <c r="J136" s="664"/>
      <c r="K136" s="37"/>
      <c r="L136" s="30"/>
      <c r="M136" s="30"/>
      <c r="N136" s="30"/>
    </row>
    <row r="137" spans="2:14">
      <c r="B137" s="30"/>
      <c r="C137" s="30"/>
      <c r="G137" s="30"/>
      <c r="H137" s="33"/>
      <c r="I137" s="37"/>
      <c r="J137" s="664"/>
      <c r="K137" s="37"/>
      <c r="L137" s="30"/>
      <c r="M137" s="30"/>
      <c r="N137" s="30"/>
    </row>
    <row r="138" spans="2:14">
      <c r="B138" s="30"/>
      <c r="C138" s="30"/>
      <c r="G138" s="30"/>
      <c r="H138" s="33"/>
      <c r="I138" s="37"/>
      <c r="J138" s="664"/>
      <c r="K138" s="37"/>
      <c r="L138" s="30"/>
      <c r="M138" s="30"/>
      <c r="N138" s="30"/>
    </row>
    <row r="139" spans="2:14">
      <c r="B139" s="30"/>
      <c r="C139" s="30"/>
      <c r="G139" s="30"/>
      <c r="H139" s="33"/>
      <c r="I139" s="37"/>
      <c r="J139" s="664"/>
      <c r="K139" s="37"/>
      <c r="L139" s="30"/>
      <c r="M139" s="30"/>
      <c r="N139" s="30"/>
    </row>
    <row r="140" spans="2:14">
      <c r="B140" s="30"/>
      <c r="C140" s="30"/>
      <c r="G140" s="30"/>
      <c r="H140" s="33"/>
      <c r="I140" s="37"/>
      <c r="J140" s="664"/>
      <c r="K140" s="37"/>
      <c r="L140" s="30"/>
      <c r="M140" s="30"/>
      <c r="N140" s="30"/>
    </row>
    <row r="141" spans="2:14">
      <c r="B141" s="30"/>
      <c r="C141" s="30"/>
      <c r="G141" s="30"/>
      <c r="H141" s="33"/>
      <c r="I141" s="37"/>
      <c r="J141" s="664"/>
      <c r="K141" s="37"/>
      <c r="L141" s="30"/>
      <c r="M141" s="30"/>
      <c r="N141" s="30"/>
    </row>
    <row r="142" spans="2:14">
      <c r="B142" s="30"/>
      <c r="C142" s="30"/>
      <c r="G142" s="30"/>
      <c r="H142" s="33"/>
      <c r="I142" s="37"/>
      <c r="J142" s="664"/>
      <c r="K142" s="37"/>
      <c r="L142" s="30"/>
      <c r="M142" s="30"/>
      <c r="N142" s="30"/>
    </row>
    <row r="143" spans="2:14">
      <c r="B143" s="30"/>
      <c r="C143" s="30"/>
      <c r="G143" s="30"/>
      <c r="H143" s="33"/>
      <c r="I143" s="37"/>
      <c r="J143" s="664"/>
      <c r="K143" s="37"/>
      <c r="L143" s="30"/>
      <c r="M143" s="30"/>
      <c r="N143" s="30"/>
    </row>
    <row r="144" spans="2:14">
      <c r="B144" s="30"/>
      <c r="C144" s="30"/>
      <c r="G144" s="30"/>
      <c r="H144" s="33"/>
      <c r="I144" s="37"/>
      <c r="J144" s="664"/>
      <c r="K144" s="37"/>
      <c r="L144" s="30"/>
      <c r="M144" s="30"/>
      <c r="N144" s="30"/>
    </row>
    <row r="145" spans="2:14">
      <c r="B145" s="30"/>
      <c r="C145" s="30"/>
      <c r="G145" s="30"/>
      <c r="H145" s="33"/>
      <c r="I145" s="37"/>
      <c r="J145" s="664"/>
      <c r="K145" s="37"/>
      <c r="L145" s="30"/>
      <c r="M145" s="30"/>
      <c r="N145" s="30"/>
    </row>
    <row r="146" spans="2:14">
      <c r="B146" s="30"/>
      <c r="C146" s="30"/>
      <c r="G146" s="30"/>
      <c r="H146" s="33"/>
      <c r="I146" s="37"/>
      <c r="J146" s="664"/>
      <c r="K146" s="37"/>
      <c r="L146" s="30"/>
      <c r="M146" s="30"/>
      <c r="N146" s="30"/>
    </row>
    <row r="147" spans="2:14">
      <c r="B147" s="30"/>
      <c r="C147" s="30"/>
      <c r="G147" s="30"/>
      <c r="H147" s="33"/>
      <c r="I147" s="37"/>
      <c r="J147" s="664"/>
      <c r="K147" s="37"/>
      <c r="L147" s="30"/>
      <c r="M147" s="30"/>
      <c r="N147" s="30"/>
    </row>
    <row r="148" spans="2:14">
      <c r="B148" s="30"/>
      <c r="C148" s="30"/>
      <c r="G148" s="30"/>
      <c r="H148" s="33"/>
      <c r="I148" s="37"/>
      <c r="J148" s="664"/>
      <c r="K148" s="37"/>
      <c r="L148" s="30"/>
      <c r="M148" s="30"/>
      <c r="N148" s="30"/>
    </row>
    <row r="149" spans="2:14">
      <c r="B149" s="30"/>
      <c r="C149" s="30"/>
      <c r="G149" s="30"/>
      <c r="H149" s="33"/>
      <c r="I149" s="37"/>
      <c r="J149" s="664"/>
      <c r="K149" s="37"/>
      <c r="L149" s="30"/>
      <c r="M149" s="30"/>
      <c r="N149" s="30"/>
    </row>
    <row r="150" spans="2:14">
      <c r="B150" s="30"/>
      <c r="C150" s="30"/>
      <c r="G150" s="30"/>
      <c r="H150" s="33"/>
      <c r="I150" s="37"/>
      <c r="J150" s="664"/>
      <c r="K150" s="37"/>
      <c r="L150" s="30"/>
      <c r="M150" s="30"/>
      <c r="N150" s="30"/>
    </row>
    <row r="151" spans="2:14">
      <c r="B151" s="30"/>
      <c r="C151" s="30"/>
      <c r="G151" s="30"/>
      <c r="H151" s="33"/>
      <c r="I151" s="37"/>
      <c r="J151" s="664"/>
      <c r="K151" s="37"/>
      <c r="L151" s="30"/>
      <c r="M151" s="30"/>
      <c r="N151" s="30"/>
    </row>
    <row r="152" spans="2:14">
      <c r="B152" s="30"/>
      <c r="C152" s="30"/>
      <c r="G152" s="30"/>
      <c r="H152" s="33"/>
      <c r="I152" s="37"/>
      <c r="J152" s="664"/>
      <c r="K152" s="37"/>
      <c r="L152" s="30"/>
      <c r="M152" s="30"/>
      <c r="N152" s="30"/>
    </row>
    <row r="153" spans="2:14">
      <c r="B153" s="30"/>
      <c r="C153" s="30"/>
      <c r="G153" s="30"/>
      <c r="H153" s="33"/>
      <c r="I153" s="37"/>
      <c r="J153" s="664"/>
      <c r="K153" s="37"/>
      <c r="L153" s="30"/>
      <c r="M153" s="30"/>
      <c r="N153" s="30"/>
    </row>
    <row r="154" spans="2:14">
      <c r="B154" s="30"/>
      <c r="C154" s="30"/>
      <c r="G154" s="30"/>
      <c r="H154" s="33"/>
      <c r="I154" s="37"/>
      <c r="J154" s="664"/>
      <c r="K154" s="37"/>
      <c r="L154" s="30"/>
      <c r="M154" s="30"/>
      <c r="N154" s="30"/>
    </row>
    <row r="155" spans="2:14">
      <c r="B155" s="30"/>
      <c r="C155" s="30"/>
      <c r="G155" s="30"/>
      <c r="H155" s="33"/>
      <c r="I155" s="37"/>
      <c r="J155" s="664"/>
      <c r="K155" s="37"/>
      <c r="L155" s="30"/>
      <c r="M155" s="30"/>
      <c r="N155" s="30"/>
    </row>
    <row r="156" spans="2:14">
      <c r="B156" s="30"/>
      <c r="C156" s="30"/>
      <c r="G156" s="30"/>
      <c r="H156" s="33"/>
      <c r="I156" s="37"/>
      <c r="J156" s="664"/>
      <c r="K156" s="37"/>
      <c r="L156" s="30"/>
      <c r="M156" s="30"/>
      <c r="N156" s="30"/>
    </row>
    <row r="157" spans="2:14">
      <c r="B157" s="30"/>
      <c r="C157" s="30"/>
      <c r="G157" s="30"/>
      <c r="H157" s="33"/>
      <c r="I157" s="37"/>
      <c r="J157" s="664"/>
      <c r="K157" s="37"/>
      <c r="L157" s="30"/>
      <c r="M157" s="30"/>
      <c r="N157" s="30"/>
    </row>
    <row r="158" spans="2:14">
      <c r="B158" s="30"/>
      <c r="C158" s="30"/>
      <c r="G158" s="30"/>
      <c r="H158" s="33"/>
      <c r="I158" s="37"/>
      <c r="J158" s="664"/>
      <c r="K158" s="37"/>
      <c r="L158" s="30"/>
      <c r="M158" s="30"/>
      <c r="N158" s="30"/>
    </row>
    <row r="159" spans="2:14">
      <c r="B159" s="30"/>
      <c r="C159" s="30"/>
      <c r="G159" s="30"/>
      <c r="H159" s="33"/>
      <c r="I159" s="37"/>
      <c r="J159" s="664"/>
      <c r="K159" s="37"/>
      <c r="L159" s="30"/>
      <c r="M159" s="30"/>
      <c r="N159" s="30"/>
    </row>
    <row r="160" spans="2:14">
      <c r="B160" s="30"/>
      <c r="C160" s="30"/>
      <c r="G160" s="30"/>
      <c r="H160" s="33"/>
      <c r="I160" s="37"/>
      <c r="J160" s="664"/>
      <c r="K160" s="37"/>
      <c r="L160" s="30"/>
      <c r="M160" s="30"/>
      <c r="N160" s="30"/>
    </row>
    <row r="161" spans="2:14">
      <c r="B161" s="30"/>
      <c r="C161" s="30"/>
      <c r="G161" s="30"/>
      <c r="H161" s="33"/>
      <c r="I161" s="37"/>
      <c r="J161" s="664"/>
      <c r="K161" s="37"/>
      <c r="L161" s="30"/>
      <c r="M161" s="30"/>
      <c r="N161" s="30"/>
    </row>
    <row r="162" spans="2:14">
      <c r="B162" s="30"/>
      <c r="C162" s="30"/>
      <c r="G162" s="30"/>
      <c r="H162" s="33"/>
      <c r="I162" s="37"/>
      <c r="J162" s="664"/>
      <c r="K162" s="37"/>
      <c r="L162" s="30"/>
      <c r="M162" s="30"/>
      <c r="N162" s="30"/>
    </row>
    <row r="163" spans="2:14">
      <c r="B163" s="30"/>
      <c r="C163" s="30"/>
      <c r="G163" s="30"/>
      <c r="H163" s="33"/>
      <c r="I163" s="37"/>
      <c r="J163" s="664"/>
      <c r="K163" s="37"/>
      <c r="L163" s="30"/>
      <c r="M163" s="30"/>
      <c r="N163" s="30"/>
    </row>
    <row r="164" spans="2:14">
      <c r="B164" s="30"/>
      <c r="C164" s="30"/>
      <c r="G164" s="30"/>
      <c r="H164" s="33"/>
      <c r="I164" s="37"/>
      <c r="J164" s="664"/>
      <c r="K164" s="37"/>
      <c r="L164" s="30"/>
      <c r="M164" s="30"/>
      <c r="N164" s="30"/>
    </row>
    <row r="165" spans="2:14">
      <c r="B165" s="30"/>
      <c r="C165" s="30"/>
      <c r="G165" s="30"/>
      <c r="H165" s="33"/>
      <c r="I165" s="37"/>
      <c r="J165" s="664"/>
      <c r="K165" s="37"/>
      <c r="L165" s="30"/>
      <c r="M165" s="30"/>
      <c r="N165" s="30"/>
    </row>
    <row r="166" spans="2:14">
      <c r="B166" s="30"/>
      <c r="C166" s="30"/>
      <c r="G166" s="30"/>
      <c r="H166" s="33"/>
      <c r="I166" s="37"/>
      <c r="J166" s="664"/>
      <c r="K166" s="37"/>
      <c r="L166" s="30"/>
      <c r="M166" s="30"/>
      <c r="N166" s="30"/>
    </row>
    <row r="167" spans="2:14">
      <c r="B167" s="30"/>
      <c r="C167" s="30"/>
      <c r="G167" s="30"/>
      <c r="H167" s="33"/>
      <c r="I167" s="37"/>
      <c r="J167" s="664"/>
      <c r="K167" s="37"/>
      <c r="L167" s="30"/>
      <c r="M167" s="30"/>
      <c r="N167" s="30"/>
    </row>
    <row r="168" spans="2:14">
      <c r="B168" s="30"/>
      <c r="C168" s="30"/>
      <c r="G168" s="30"/>
      <c r="H168" s="33"/>
      <c r="I168" s="37"/>
      <c r="J168" s="664"/>
      <c r="K168" s="37"/>
      <c r="L168" s="30"/>
      <c r="M168" s="30"/>
      <c r="N168" s="30"/>
    </row>
    <row r="169" spans="2:14">
      <c r="B169" s="30"/>
      <c r="C169" s="30"/>
      <c r="G169" s="30"/>
      <c r="H169" s="33"/>
      <c r="I169" s="37"/>
      <c r="J169" s="664"/>
      <c r="K169" s="37"/>
      <c r="L169" s="30"/>
      <c r="M169" s="30"/>
      <c r="N169" s="30"/>
    </row>
    <row r="170" spans="2:14">
      <c r="B170" s="30"/>
      <c r="C170" s="30"/>
      <c r="G170" s="30"/>
      <c r="H170" s="33"/>
      <c r="I170" s="37"/>
      <c r="J170" s="664"/>
      <c r="K170" s="37"/>
      <c r="L170" s="30"/>
      <c r="M170" s="30"/>
      <c r="N170" s="30"/>
    </row>
    <row r="171" spans="2:14">
      <c r="B171" s="30"/>
      <c r="C171" s="30"/>
      <c r="G171" s="30"/>
      <c r="H171" s="33"/>
      <c r="I171" s="37"/>
      <c r="J171" s="664"/>
      <c r="K171" s="37"/>
      <c r="L171" s="30"/>
      <c r="M171" s="30"/>
      <c r="N171" s="30"/>
    </row>
    <row r="172" spans="2:14">
      <c r="B172" s="30"/>
      <c r="C172" s="30"/>
      <c r="G172" s="30"/>
      <c r="H172" s="33"/>
      <c r="I172" s="37"/>
      <c r="J172" s="664"/>
      <c r="K172" s="37"/>
      <c r="L172" s="30"/>
      <c r="M172" s="30"/>
      <c r="N172" s="30"/>
    </row>
    <row r="173" spans="2:14">
      <c r="B173" s="30"/>
      <c r="C173" s="30"/>
      <c r="G173" s="30"/>
      <c r="H173" s="33"/>
      <c r="I173" s="37"/>
      <c r="J173" s="664"/>
      <c r="K173" s="37"/>
      <c r="L173" s="30"/>
      <c r="M173" s="30"/>
      <c r="N173" s="30"/>
    </row>
    <row r="174" spans="2:14">
      <c r="B174" s="30"/>
      <c r="C174" s="30"/>
      <c r="G174" s="30"/>
      <c r="H174" s="33"/>
      <c r="I174" s="37"/>
      <c r="J174" s="664"/>
      <c r="K174" s="37"/>
      <c r="L174" s="30"/>
      <c r="M174" s="30"/>
      <c r="N174" s="30"/>
    </row>
    <row r="175" spans="2:14">
      <c r="B175" s="30"/>
      <c r="C175" s="30"/>
      <c r="G175" s="30"/>
      <c r="H175" s="33"/>
      <c r="I175" s="37"/>
      <c r="J175" s="664"/>
      <c r="K175" s="37"/>
      <c r="L175" s="30"/>
      <c r="M175" s="30"/>
      <c r="N175" s="30"/>
    </row>
    <row r="176" spans="2:14">
      <c r="B176" s="30"/>
      <c r="C176" s="30"/>
      <c r="G176" s="30"/>
      <c r="H176" s="33"/>
      <c r="I176" s="37"/>
      <c r="J176" s="664"/>
      <c r="K176" s="37"/>
      <c r="L176" s="30"/>
      <c r="M176" s="30"/>
      <c r="N176" s="30"/>
    </row>
    <row r="177" spans="2:14">
      <c r="B177" s="30"/>
      <c r="C177" s="30"/>
      <c r="G177" s="30"/>
      <c r="H177" s="33"/>
      <c r="I177" s="37"/>
      <c r="J177" s="664"/>
      <c r="K177" s="37"/>
      <c r="L177" s="30"/>
      <c r="M177" s="30"/>
      <c r="N177" s="30"/>
    </row>
    <row r="178" spans="2:14">
      <c r="B178" s="30"/>
      <c r="C178" s="30"/>
      <c r="G178" s="30"/>
      <c r="H178" s="33"/>
      <c r="I178" s="37"/>
      <c r="J178" s="664"/>
      <c r="K178" s="37"/>
      <c r="L178" s="30"/>
      <c r="M178" s="30"/>
      <c r="N178" s="30"/>
    </row>
    <row r="179" spans="2:14">
      <c r="B179" s="30"/>
      <c r="C179" s="30"/>
      <c r="G179" s="30"/>
      <c r="H179" s="33"/>
      <c r="I179" s="37"/>
      <c r="J179" s="664"/>
      <c r="K179" s="37"/>
      <c r="L179" s="30"/>
      <c r="M179" s="30"/>
      <c r="N179" s="30"/>
    </row>
    <row r="180" spans="2:14">
      <c r="B180" s="30"/>
      <c r="C180" s="30"/>
      <c r="G180" s="30"/>
      <c r="H180" s="33"/>
      <c r="I180" s="37"/>
      <c r="J180" s="664"/>
      <c r="K180" s="37"/>
      <c r="L180" s="30"/>
      <c r="M180" s="30"/>
      <c r="N180" s="30"/>
    </row>
    <row r="181" spans="2:14">
      <c r="B181" s="30"/>
      <c r="C181" s="30"/>
      <c r="G181" s="30"/>
      <c r="H181" s="33"/>
      <c r="I181" s="37"/>
      <c r="J181" s="664"/>
      <c r="K181" s="37"/>
      <c r="L181" s="30"/>
      <c r="M181" s="30"/>
      <c r="N181" s="30"/>
    </row>
    <row r="182" spans="2:14">
      <c r="B182" s="30"/>
      <c r="C182" s="30"/>
      <c r="G182" s="30"/>
      <c r="H182" s="33"/>
      <c r="I182" s="37"/>
      <c r="J182" s="664"/>
      <c r="K182" s="37"/>
      <c r="L182" s="30"/>
      <c r="M182" s="30"/>
      <c r="N182" s="30"/>
    </row>
    <row r="183" spans="2:14">
      <c r="B183" s="30"/>
      <c r="C183" s="30"/>
      <c r="G183" s="30"/>
      <c r="H183" s="33"/>
      <c r="I183" s="37"/>
      <c r="J183" s="664"/>
      <c r="K183" s="37"/>
      <c r="L183" s="30"/>
      <c r="M183" s="30"/>
      <c r="N183" s="30"/>
    </row>
    <row r="184" spans="2:14">
      <c r="B184" s="30"/>
      <c r="C184" s="30"/>
      <c r="G184" s="30"/>
      <c r="H184" s="33"/>
      <c r="I184" s="37"/>
      <c r="J184" s="664"/>
      <c r="K184" s="37"/>
      <c r="L184" s="30"/>
      <c r="M184" s="30"/>
      <c r="N184" s="30"/>
    </row>
    <row r="185" spans="2:14">
      <c r="B185" s="30"/>
      <c r="C185" s="30"/>
      <c r="G185" s="30"/>
      <c r="H185" s="33"/>
      <c r="I185" s="37"/>
      <c r="J185" s="664"/>
      <c r="K185" s="37"/>
      <c r="L185" s="30"/>
      <c r="M185" s="30"/>
      <c r="N185" s="30"/>
    </row>
    <row r="186" spans="2:14">
      <c r="B186" s="30"/>
      <c r="C186" s="30"/>
      <c r="G186" s="30"/>
      <c r="H186" s="33"/>
      <c r="I186" s="37"/>
      <c r="J186" s="664"/>
      <c r="K186" s="37"/>
      <c r="L186" s="30"/>
      <c r="M186" s="30"/>
      <c r="N186" s="30"/>
    </row>
    <row r="187" spans="2:14">
      <c r="B187" s="30"/>
      <c r="C187" s="30"/>
      <c r="G187" s="30"/>
      <c r="H187" s="33"/>
      <c r="I187" s="37"/>
      <c r="J187" s="664"/>
      <c r="K187" s="37"/>
      <c r="L187" s="30"/>
      <c r="M187" s="30"/>
      <c r="N187" s="30"/>
    </row>
    <row r="188" spans="2:14">
      <c r="B188" s="30"/>
      <c r="C188" s="30"/>
      <c r="G188" s="30"/>
      <c r="H188" s="33"/>
      <c r="I188" s="37"/>
      <c r="J188" s="664"/>
      <c r="K188" s="37"/>
      <c r="L188" s="30"/>
      <c r="M188" s="30"/>
      <c r="N188" s="30"/>
    </row>
    <row r="189" spans="2:14">
      <c r="B189" s="30"/>
      <c r="C189" s="30"/>
      <c r="G189" s="30"/>
      <c r="H189" s="33"/>
      <c r="I189" s="37"/>
      <c r="J189" s="664"/>
      <c r="K189" s="37"/>
      <c r="L189" s="30"/>
      <c r="M189" s="30"/>
      <c r="N189" s="30"/>
    </row>
    <row r="190" spans="2:14">
      <c r="B190" s="30"/>
      <c r="C190" s="30"/>
      <c r="G190" s="30"/>
      <c r="H190" s="33"/>
      <c r="I190" s="37"/>
      <c r="J190" s="664"/>
      <c r="K190" s="37"/>
      <c r="L190" s="30"/>
      <c r="M190" s="30"/>
      <c r="N190" s="30"/>
    </row>
    <row r="191" spans="2:14">
      <c r="B191" s="30"/>
      <c r="C191" s="30"/>
      <c r="G191" s="30"/>
      <c r="H191" s="33"/>
      <c r="I191" s="37"/>
      <c r="J191" s="664"/>
      <c r="K191" s="37"/>
      <c r="L191" s="30"/>
      <c r="M191" s="30"/>
      <c r="N191" s="30"/>
    </row>
    <row r="192" spans="2:14">
      <c r="B192" s="30"/>
      <c r="C192" s="30"/>
      <c r="G192" s="30"/>
      <c r="H192" s="33"/>
      <c r="I192" s="37"/>
      <c r="J192" s="664"/>
      <c r="K192" s="37"/>
      <c r="L192" s="30"/>
      <c r="M192" s="30"/>
      <c r="N192" s="30"/>
    </row>
    <row r="193" spans="2:14">
      <c r="B193" s="30"/>
      <c r="C193" s="30"/>
      <c r="G193" s="30"/>
      <c r="H193" s="33"/>
      <c r="I193" s="37"/>
      <c r="J193" s="664"/>
      <c r="K193" s="37"/>
      <c r="L193" s="30"/>
      <c r="M193" s="30"/>
      <c r="N193" s="30"/>
    </row>
    <row r="194" spans="2:14">
      <c r="B194" s="30"/>
      <c r="C194" s="30"/>
      <c r="G194" s="30"/>
      <c r="H194" s="33"/>
      <c r="I194" s="37"/>
      <c r="J194" s="664"/>
      <c r="K194" s="37"/>
      <c r="L194" s="30"/>
      <c r="M194" s="30"/>
      <c r="N194" s="30"/>
    </row>
    <row r="195" spans="2:14">
      <c r="B195" s="30"/>
      <c r="C195" s="30"/>
      <c r="G195" s="30"/>
      <c r="H195" s="33"/>
      <c r="I195" s="37"/>
      <c r="J195" s="664"/>
      <c r="K195" s="37"/>
      <c r="L195" s="30"/>
      <c r="M195" s="30"/>
      <c r="N195" s="30"/>
    </row>
    <row r="196" spans="2:14">
      <c r="B196" s="30"/>
      <c r="C196" s="30"/>
      <c r="G196" s="30"/>
      <c r="H196" s="33"/>
      <c r="I196" s="37"/>
      <c r="J196" s="664"/>
      <c r="K196" s="37"/>
      <c r="L196" s="30"/>
      <c r="M196" s="30"/>
      <c r="N196" s="30"/>
    </row>
    <row r="197" spans="2:14">
      <c r="B197" s="30"/>
      <c r="C197" s="30"/>
      <c r="G197" s="30"/>
      <c r="H197" s="33"/>
      <c r="I197" s="37"/>
      <c r="J197" s="664"/>
      <c r="K197" s="37"/>
      <c r="L197" s="30"/>
      <c r="M197" s="30"/>
      <c r="N197" s="30"/>
    </row>
    <row r="198" spans="2:14">
      <c r="B198" s="30"/>
      <c r="C198" s="30"/>
      <c r="G198" s="30"/>
      <c r="H198" s="33"/>
      <c r="I198" s="37"/>
      <c r="J198" s="664"/>
      <c r="K198" s="37"/>
      <c r="L198" s="30"/>
      <c r="M198" s="30"/>
      <c r="N198" s="30"/>
    </row>
    <row r="199" spans="2:14">
      <c r="B199" s="30"/>
      <c r="C199" s="30"/>
      <c r="G199" s="30"/>
      <c r="H199" s="33"/>
      <c r="I199" s="37"/>
      <c r="J199" s="664"/>
      <c r="K199" s="37"/>
      <c r="L199" s="30"/>
      <c r="M199" s="30"/>
      <c r="N199" s="30"/>
    </row>
    <row r="200" spans="2:14">
      <c r="B200" s="30"/>
      <c r="C200" s="30"/>
      <c r="G200" s="30"/>
      <c r="H200" s="33"/>
      <c r="I200" s="37"/>
      <c r="J200" s="664"/>
      <c r="K200" s="37"/>
      <c r="L200" s="30"/>
      <c r="M200" s="30"/>
      <c r="N200" s="30"/>
    </row>
    <row r="201" spans="2:14">
      <c r="B201" s="30"/>
      <c r="C201" s="30"/>
      <c r="G201" s="30"/>
      <c r="H201" s="33"/>
      <c r="I201" s="37"/>
      <c r="J201" s="664"/>
      <c r="K201" s="37"/>
      <c r="L201" s="30"/>
      <c r="M201" s="30"/>
      <c r="N201" s="30"/>
    </row>
    <row r="202" spans="2:14">
      <c r="B202" s="30"/>
      <c r="C202" s="30"/>
      <c r="G202" s="30"/>
      <c r="H202" s="33"/>
      <c r="I202" s="37"/>
      <c r="J202" s="664"/>
      <c r="K202" s="37"/>
      <c r="L202" s="30"/>
      <c r="M202" s="30"/>
      <c r="N202" s="30"/>
    </row>
    <row r="203" spans="2:14">
      <c r="B203" s="30"/>
      <c r="C203" s="30"/>
      <c r="G203" s="30"/>
      <c r="H203" s="33"/>
      <c r="I203" s="37"/>
      <c r="J203" s="664"/>
      <c r="K203" s="37"/>
      <c r="L203" s="30"/>
      <c r="M203" s="30"/>
      <c r="N203" s="30"/>
    </row>
    <row r="204" spans="2:14">
      <c r="B204" s="30"/>
      <c r="C204" s="30"/>
      <c r="G204" s="30"/>
      <c r="H204" s="33"/>
      <c r="I204" s="37"/>
      <c r="J204" s="664"/>
      <c r="K204" s="37"/>
      <c r="L204" s="30"/>
      <c r="M204" s="30"/>
      <c r="N204" s="30"/>
    </row>
    <row r="205" spans="2:14">
      <c r="B205" s="30"/>
      <c r="C205" s="30"/>
      <c r="G205" s="30"/>
      <c r="H205" s="33"/>
      <c r="I205" s="37"/>
      <c r="J205" s="664"/>
      <c r="K205" s="37"/>
      <c r="L205" s="30"/>
      <c r="M205" s="30"/>
      <c r="N205" s="30"/>
    </row>
    <row r="206" spans="2:14">
      <c r="B206" s="30"/>
      <c r="C206" s="30"/>
      <c r="G206" s="30"/>
      <c r="H206" s="33"/>
      <c r="I206" s="37"/>
      <c r="J206" s="664"/>
      <c r="K206" s="37"/>
      <c r="L206" s="30"/>
      <c r="M206" s="30"/>
      <c r="N206" s="30"/>
    </row>
    <row r="207" spans="2:14">
      <c r="B207" s="30"/>
      <c r="C207" s="30"/>
      <c r="G207" s="30"/>
      <c r="H207" s="33"/>
      <c r="I207" s="37"/>
      <c r="J207" s="664"/>
      <c r="K207" s="37"/>
      <c r="L207" s="30"/>
      <c r="M207" s="30"/>
      <c r="N207" s="30"/>
    </row>
    <row r="208" spans="2:14">
      <c r="B208" s="30"/>
      <c r="C208" s="30"/>
      <c r="G208" s="30"/>
      <c r="H208" s="33"/>
      <c r="I208" s="37"/>
      <c r="J208" s="664"/>
      <c r="K208" s="37"/>
      <c r="L208" s="30"/>
      <c r="M208" s="30"/>
      <c r="N208" s="30"/>
    </row>
    <row r="209" spans="2:14">
      <c r="B209" s="30"/>
      <c r="C209" s="30"/>
      <c r="G209" s="30"/>
      <c r="H209" s="33"/>
      <c r="I209" s="37"/>
      <c r="J209" s="664"/>
      <c r="K209" s="37"/>
      <c r="L209" s="30"/>
      <c r="M209" s="30"/>
      <c r="N209" s="30"/>
    </row>
    <row r="210" spans="2:14">
      <c r="B210" s="30"/>
      <c r="C210" s="30"/>
      <c r="G210" s="30"/>
      <c r="H210" s="33"/>
      <c r="I210" s="37"/>
      <c r="J210" s="664"/>
      <c r="K210" s="37"/>
      <c r="L210" s="30"/>
      <c r="M210" s="30"/>
      <c r="N210" s="30"/>
    </row>
    <row r="211" spans="2:14">
      <c r="B211" s="30"/>
      <c r="C211" s="30"/>
      <c r="G211" s="30"/>
      <c r="H211" s="33"/>
      <c r="I211" s="37"/>
      <c r="J211" s="664"/>
      <c r="K211" s="37"/>
      <c r="L211" s="30"/>
      <c r="M211" s="30"/>
      <c r="N211" s="30"/>
    </row>
    <row r="212" spans="2:14">
      <c r="B212" s="30"/>
      <c r="C212" s="30"/>
      <c r="G212" s="30"/>
      <c r="H212" s="33"/>
      <c r="I212" s="37"/>
      <c r="J212" s="664"/>
      <c r="K212" s="37"/>
      <c r="L212" s="30"/>
      <c r="M212" s="30"/>
      <c r="N212" s="30"/>
    </row>
    <row r="213" spans="2:14">
      <c r="B213" s="30"/>
      <c r="C213" s="30"/>
      <c r="G213" s="30"/>
      <c r="H213" s="33"/>
      <c r="I213" s="37"/>
      <c r="J213" s="664"/>
      <c r="K213" s="37"/>
      <c r="L213" s="30"/>
      <c r="M213" s="30"/>
      <c r="N213" s="30"/>
    </row>
    <row r="214" spans="2:14">
      <c r="B214" s="30"/>
      <c r="C214" s="30"/>
      <c r="G214" s="30"/>
      <c r="H214" s="33"/>
      <c r="I214" s="37"/>
      <c r="J214" s="664"/>
      <c r="K214" s="37"/>
      <c r="L214" s="30"/>
      <c r="M214" s="30"/>
      <c r="N214" s="30"/>
    </row>
    <row r="215" spans="2:14">
      <c r="B215" s="30"/>
      <c r="C215" s="30"/>
      <c r="G215" s="30"/>
      <c r="H215" s="33"/>
      <c r="I215" s="37"/>
      <c r="J215" s="664"/>
      <c r="K215" s="37"/>
      <c r="L215" s="30"/>
      <c r="M215" s="30"/>
      <c r="N215" s="30"/>
    </row>
    <row r="216" spans="2:14">
      <c r="B216" s="30"/>
      <c r="C216" s="30"/>
      <c r="G216" s="30"/>
      <c r="H216" s="33"/>
      <c r="I216" s="37"/>
      <c r="J216" s="664"/>
      <c r="K216" s="37"/>
      <c r="L216" s="30"/>
      <c r="M216" s="30"/>
      <c r="N216" s="30"/>
    </row>
    <row r="217" spans="2:14">
      <c r="B217" s="30"/>
      <c r="C217" s="30"/>
      <c r="G217" s="30"/>
      <c r="H217" s="33"/>
      <c r="I217" s="37"/>
      <c r="J217" s="664"/>
      <c r="K217" s="37"/>
      <c r="L217" s="30"/>
      <c r="M217" s="30"/>
      <c r="N217" s="30"/>
    </row>
    <row r="218" spans="2:14">
      <c r="B218" s="30"/>
      <c r="C218" s="30"/>
      <c r="G218" s="30"/>
      <c r="H218" s="33"/>
      <c r="I218" s="37"/>
      <c r="J218" s="664"/>
      <c r="K218" s="37"/>
      <c r="L218" s="30"/>
      <c r="M218" s="30"/>
      <c r="N218" s="30"/>
    </row>
    <row r="219" spans="2:14">
      <c r="B219" s="30"/>
      <c r="C219" s="30"/>
      <c r="G219" s="30"/>
      <c r="H219" s="33"/>
      <c r="I219" s="37"/>
      <c r="J219" s="664"/>
      <c r="K219" s="37"/>
      <c r="L219" s="30"/>
      <c r="M219" s="30"/>
      <c r="N219" s="30"/>
    </row>
    <row r="220" spans="2:14">
      <c r="B220" s="30"/>
      <c r="C220" s="30"/>
      <c r="G220" s="30"/>
      <c r="H220" s="33"/>
      <c r="I220" s="37"/>
      <c r="J220" s="664"/>
      <c r="K220" s="37"/>
      <c r="L220" s="30"/>
      <c r="M220" s="30"/>
      <c r="N220" s="30"/>
    </row>
    <row r="221" spans="2:14">
      <c r="B221" s="30"/>
      <c r="C221" s="30"/>
      <c r="G221" s="30"/>
      <c r="H221" s="33"/>
      <c r="I221" s="37"/>
      <c r="J221" s="664"/>
      <c r="K221" s="37"/>
      <c r="L221" s="30"/>
      <c r="M221" s="30"/>
      <c r="N221" s="30"/>
    </row>
    <row r="222" spans="2:14">
      <c r="B222" s="30"/>
      <c r="C222" s="30"/>
      <c r="G222" s="30"/>
      <c r="H222" s="33"/>
      <c r="I222" s="37"/>
      <c r="J222" s="664"/>
      <c r="K222" s="37"/>
      <c r="L222" s="30"/>
      <c r="M222" s="30"/>
      <c r="N222" s="30"/>
    </row>
    <row r="223" spans="2:14">
      <c r="B223" s="30"/>
      <c r="C223" s="30"/>
      <c r="G223" s="30"/>
      <c r="H223" s="33"/>
      <c r="I223" s="37"/>
      <c r="J223" s="664"/>
      <c r="K223" s="37"/>
      <c r="L223" s="30"/>
      <c r="M223" s="30"/>
      <c r="N223" s="30"/>
    </row>
    <row r="224" spans="2:14">
      <c r="B224" s="30"/>
      <c r="C224" s="30"/>
      <c r="G224" s="30"/>
      <c r="H224" s="33"/>
      <c r="I224" s="37"/>
      <c r="J224" s="664"/>
      <c r="K224" s="37"/>
      <c r="L224" s="30"/>
      <c r="M224" s="30"/>
      <c r="N224" s="30"/>
    </row>
    <row r="225" spans="2:14">
      <c r="B225" s="30"/>
      <c r="C225" s="30"/>
      <c r="G225" s="30"/>
      <c r="H225" s="33"/>
      <c r="I225" s="37"/>
      <c r="J225" s="664"/>
      <c r="K225" s="37"/>
      <c r="L225" s="30"/>
      <c r="M225" s="30"/>
      <c r="N225" s="30"/>
    </row>
    <row r="226" spans="2:14">
      <c r="B226" s="30"/>
      <c r="C226" s="30"/>
      <c r="G226" s="30"/>
      <c r="H226" s="33"/>
      <c r="I226" s="37"/>
      <c r="J226" s="664"/>
      <c r="K226" s="37"/>
      <c r="L226" s="30"/>
      <c r="M226" s="30"/>
      <c r="N226" s="30"/>
    </row>
    <row r="227" spans="2:14">
      <c r="B227" s="30"/>
      <c r="C227" s="30"/>
      <c r="G227" s="30"/>
      <c r="H227" s="33"/>
      <c r="I227" s="37"/>
      <c r="J227" s="664"/>
      <c r="K227" s="37"/>
      <c r="L227" s="30"/>
      <c r="M227" s="30"/>
      <c r="N227" s="30"/>
    </row>
    <row r="228" spans="2:14">
      <c r="B228" s="30"/>
      <c r="C228" s="30"/>
      <c r="G228" s="30"/>
      <c r="H228" s="33"/>
      <c r="I228" s="37"/>
      <c r="J228" s="664"/>
      <c r="K228" s="37"/>
      <c r="L228" s="30"/>
      <c r="M228" s="30"/>
      <c r="N228" s="30"/>
    </row>
    <row r="229" spans="2:14">
      <c r="B229" s="30"/>
      <c r="C229" s="30"/>
      <c r="G229" s="30"/>
      <c r="H229" s="33"/>
      <c r="I229" s="37"/>
      <c r="J229" s="664"/>
      <c r="K229" s="37"/>
      <c r="L229" s="30"/>
      <c r="M229" s="30"/>
      <c r="N229" s="30"/>
    </row>
    <row r="230" spans="2:14">
      <c r="B230" s="30"/>
      <c r="C230" s="30"/>
      <c r="G230" s="30"/>
      <c r="H230" s="33"/>
      <c r="I230" s="37"/>
      <c r="J230" s="664"/>
      <c r="K230" s="37"/>
      <c r="L230" s="30"/>
      <c r="M230" s="30"/>
      <c r="N230" s="30"/>
    </row>
    <row r="231" spans="2:14">
      <c r="B231" s="30"/>
      <c r="C231" s="30"/>
      <c r="G231" s="30"/>
      <c r="H231" s="33"/>
      <c r="I231" s="37"/>
      <c r="J231" s="664"/>
      <c r="K231" s="37"/>
      <c r="L231" s="30"/>
      <c r="M231" s="30"/>
      <c r="N231" s="30"/>
    </row>
    <row r="232" spans="2:14">
      <c r="B232" s="30"/>
      <c r="C232" s="30"/>
      <c r="G232" s="30"/>
      <c r="H232" s="33"/>
      <c r="I232" s="37"/>
      <c r="J232" s="664"/>
      <c r="K232" s="37"/>
      <c r="L232" s="30"/>
      <c r="M232" s="30"/>
      <c r="N232" s="30"/>
    </row>
    <row r="233" spans="2:14">
      <c r="B233" s="30"/>
      <c r="C233" s="30"/>
      <c r="G233" s="30"/>
      <c r="H233" s="33"/>
      <c r="I233" s="37"/>
      <c r="J233" s="664"/>
      <c r="K233" s="37"/>
      <c r="L233" s="30"/>
      <c r="M233" s="30"/>
      <c r="N233" s="30"/>
    </row>
    <row r="234" spans="2:14">
      <c r="B234" s="30"/>
      <c r="C234" s="30"/>
      <c r="G234" s="30"/>
      <c r="H234" s="33"/>
      <c r="I234" s="37"/>
      <c r="J234" s="664"/>
      <c r="K234" s="37"/>
      <c r="L234" s="30"/>
      <c r="M234" s="30"/>
      <c r="N234" s="30"/>
    </row>
    <row r="235" spans="2:14">
      <c r="B235" s="30"/>
      <c r="C235" s="30"/>
      <c r="G235" s="30"/>
      <c r="H235" s="33"/>
      <c r="I235" s="37"/>
      <c r="J235" s="664"/>
      <c r="K235" s="37"/>
      <c r="L235" s="30"/>
      <c r="M235" s="30"/>
      <c r="N235" s="30"/>
    </row>
    <row r="236" spans="2:14">
      <c r="B236" s="30"/>
      <c r="C236" s="30"/>
      <c r="G236" s="30"/>
      <c r="H236" s="33"/>
      <c r="I236" s="37"/>
      <c r="J236" s="664"/>
      <c r="K236" s="37"/>
      <c r="L236" s="30"/>
      <c r="M236" s="30"/>
      <c r="N236" s="30"/>
    </row>
    <row r="237" spans="2:14">
      <c r="B237" s="30"/>
      <c r="C237" s="30"/>
      <c r="G237" s="30"/>
      <c r="H237" s="33"/>
      <c r="I237" s="37"/>
      <c r="J237" s="664"/>
      <c r="K237" s="37"/>
      <c r="L237" s="30"/>
      <c r="M237" s="30"/>
      <c r="N237" s="30"/>
    </row>
    <row r="238" spans="2:14">
      <c r="B238" s="30"/>
      <c r="C238" s="30"/>
      <c r="G238" s="30"/>
      <c r="H238" s="33"/>
      <c r="I238" s="37"/>
      <c r="J238" s="664"/>
      <c r="K238" s="37"/>
      <c r="L238" s="30"/>
      <c r="M238" s="30"/>
      <c r="N238" s="30"/>
    </row>
    <row r="239" spans="2:14">
      <c r="B239" s="30"/>
      <c r="C239" s="30"/>
      <c r="G239" s="30"/>
      <c r="H239" s="33"/>
      <c r="I239" s="37"/>
      <c r="J239" s="664"/>
      <c r="K239" s="37"/>
      <c r="L239" s="30"/>
      <c r="M239" s="30"/>
      <c r="N239" s="30"/>
    </row>
    <row r="240" spans="2:14">
      <c r="B240" s="30"/>
      <c r="C240" s="30"/>
      <c r="G240" s="30"/>
      <c r="H240" s="33"/>
      <c r="I240" s="37"/>
      <c r="J240" s="664"/>
      <c r="K240" s="37"/>
      <c r="L240" s="30"/>
      <c r="M240" s="30"/>
      <c r="N240" s="30"/>
    </row>
    <row r="241" spans="2:14">
      <c r="B241" s="30"/>
      <c r="C241" s="30"/>
      <c r="G241" s="30"/>
      <c r="H241" s="33"/>
      <c r="I241" s="37"/>
      <c r="J241" s="664"/>
      <c r="K241" s="37"/>
      <c r="L241" s="30"/>
      <c r="M241" s="30"/>
      <c r="N241" s="30"/>
    </row>
    <row r="242" spans="2:14">
      <c r="B242" s="30"/>
      <c r="C242" s="30"/>
      <c r="G242" s="30"/>
      <c r="H242" s="33"/>
      <c r="I242" s="37"/>
      <c r="J242" s="664"/>
      <c r="K242" s="37"/>
      <c r="L242" s="30"/>
      <c r="M242" s="30"/>
      <c r="N242" s="30"/>
    </row>
    <row r="243" spans="2:14">
      <c r="B243" s="30"/>
      <c r="C243" s="30"/>
      <c r="G243" s="30"/>
      <c r="H243" s="33"/>
      <c r="I243" s="37"/>
      <c r="J243" s="664"/>
      <c r="K243" s="37"/>
      <c r="L243" s="30"/>
      <c r="M243" s="30"/>
      <c r="N243" s="30"/>
    </row>
    <row r="244" spans="2:14">
      <c r="B244" s="30"/>
      <c r="C244" s="30"/>
      <c r="G244" s="30"/>
      <c r="H244" s="33"/>
      <c r="I244" s="37"/>
      <c r="J244" s="664"/>
      <c r="K244" s="37"/>
      <c r="L244" s="30"/>
      <c r="M244" s="30"/>
      <c r="N244" s="30"/>
    </row>
    <row r="245" spans="2:14">
      <c r="B245" s="30"/>
      <c r="C245" s="30"/>
      <c r="G245" s="30"/>
      <c r="H245" s="33"/>
      <c r="I245" s="37"/>
      <c r="J245" s="664"/>
      <c r="K245" s="37"/>
      <c r="L245" s="30"/>
      <c r="M245" s="30"/>
      <c r="N245" s="30"/>
    </row>
    <row r="246" spans="2:14">
      <c r="B246" s="30"/>
      <c r="C246" s="30"/>
      <c r="G246" s="30"/>
      <c r="H246" s="33"/>
      <c r="I246" s="37"/>
      <c r="J246" s="664"/>
      <c r="K246" s="37"/>
      <c r="L246" s="30"/>
      <c r="M246" s="30"/>
      <c r="N246" s="30"/>
    </row>
    <row r="247" spans="2:14">
      <c r="B247" s="30"/>
      <c r="C247" s="30"/>
      <c r="G247" s="30"/>
      <c r="H247" s="33"/>
      <c r="I247" s="37"/>
      <c r="J247" s="664"/>
      <c r="K247" s="37"/>
      <c r="L247" s="30"/>
      <c r="M247" s="30"/>
      <c r="N247" s="30"/>
    </row>
    <row r="248" spans="2:14">
      <c r="B248" s="30"/>
      <c r="C248" s="30"/>
      <c r="G248" s="30"/>
      <c r="H248" s="33"/>
      <c r="I248" s="37"/>
      <c r="J248" s="664"/>
      <c r="K248" s="37"/>
      <c r="L248" s="30"/>
      <c r="M248" s="30"/>
      <c r="N248" s="30"/>
    </row>
    <row r="249" spans="2:14">
      <c r="B249" s="30"/>
      <c r="C249" s="30"/>
      <c r="G249" s="30"/>
      <c r="H249" s="33"/>
      <c r="I249" s="37"/>
      <c r="J249" s="664"/>
      <c r="K249" s="37"/>
      <c r="L249" s="30"/>
      <c r="M249" s="30"/>
      <c r="N249" s="30"/>
    </row>
    <row r="250" spans="2:14">
      <c r="B250" s="30"/>
      <c r="C250" s="30"/>
      <c r="G250" s="30"/>
      <c r="H250" s="33"/>
      <c r="I250" s="37"/>
      <c r="J250" s="664"/>
      <c r="K250" s="37"/>
      <c r="L250" s="30"/>
      <c r="M250" s="30"/>
      <c r="N250" s="30"/>
    </row>
    <row r="251" spans="2:14">
      <c r="B251" s="30"/>
      <c r="C251" s="30"/>
      <c r="G251" s="30"/>
      <c r="H251" s="33"/>
      <c r="I251" s="37"/>
      <c r="J251" s="664"/>
      <c r="K251" s="37"/>
      <c r="L251" s="30"/>
      <c r="M251" s="30"/>
      <c r="N251" s="30"/>
    </row>
    <row r="252" spans="2:14">
      <c r="B252" s="30"/>
      <c r="C252" s="30"/>
      <c r="G252" s="30"/>
      <c r="H252" s="33"/>
      <c r="I252" s="37"/>
      <c r="J252" s="664"/>
      <c r="K252" s="37"/>
      <c r="L252" s="30"/>
      <c r="M252" s="30"/>
      <c r="N252" s="30"/>
    </row>
    <row r="253" spans="2:14">
      <c r="B253" s="30"/>
      <c r="C253" s="30"/>
      <c r="G253" s="30"/>
      <c r="H253" s="33"/>
      <c r="I253" s="37"/>
      <c r="J253" s="664"/>
      <c r="K253" s="37"/>
      <c r="L253" s="30"/>
      <c r="M253" s="30"/>
      <c r="N253" s="30"/>
    </row>
    <row r="254" spans="2:14">
      <c r="B254" s="30"/>
      <c r="C254" s="30"/>
      <c r="G254" s="30"/>
      <c r="H254" s="33"/>
      <c r="I254" s="37"/>
      <c r="J254" s="664"/>
      <c r="K254" s="37"/>
      <c r="L254" s="30"/>
      <c r="M254" s="30"/>
      <c r="N254" s="30"/>
    </row>
    <row r="255" spans="2:14">
      <c r="B255" s="30"/>
      <c r="C255" s="30"/>
      <c r="G255" s="30"/>
      <c r="H255" s="33"/>
      <c r="I255" s="37"/>
      <c r="J255" s="664"/>
      <c r="K255" s="37"/>
      <c r="L255" s="30"/>
      <c r="M255" s="30"/>
      <c r="N255" s="30"/>
    </row>
    <row r="256" spans="2:14">
      <c r="B256" s="30"/>
      <c r="C256" s="30"/>
      <c r="G256" s="30"/>
      <c r="H256" s="33"/>
      <c r="I256" s="37"/>
      <c r="J256" s="664"/>
      <c r="K256" s="37"/>
      <c r="L256" s="30"/>
      <c r="M256" s="30"/>
      <c r="N256" s="30"/>
    </row>
    <row r="257" spans="2:14">
      <c r="B257" s="30"/>
      <c r="C257" s="30"/>
      <c r="G257" s="30"/>
      <c r="H257" s="33"/>
      <c r="I257" s="37"/>
      <c r="J257" s="664"/>
      <c r="K257" s="37"/>
      <c r="L257" s="30"/>
      <c r="M257" s="30"/>
      <c r="N257" s="30"/>
    </row>
    <row r="258" spans="2:14">
      <c r="B258" s="30"/>
      <c r="C258" s="30"/>
      <c r="G258" s="30"/>
      <c r="H258" s="33"/>
      <c r="I258" s="37"/>
      <c r="J258" s="664"/>
      <c r="K258" s="37"/>
      <c r="L258" s="30"/>
      <c r="M258" s="30"/>
      <c r="N258" s="30"/>
    </row>
    <row r="259" spans="2:14">
      <c r="B259" s="30"/>
      <c r="C259" s="30"/>
      <c r="G259" s="30"/>
      <c r="H259" s="33"/>
      <c r="I259" s="37"/>
      <c r="J259" s="664"/>
      <c r="K259" s="37"/>
      <c r="L259" s="30"/>
      <c r="M259" s="30"/>
      <c r="N259" s="30"/>
    </row>
    <row r="260" spans="2:14">
      <c r="B260" s="30"/>
      <c r="C260" s="30"/>
      <c r="G260" s="30"/>
      <c r="H260" s="33"/>
      <c r="I260" s="37"/>
      <c r="J260" s="664"/>
      <c r="K260" s="37"/>
      <c r="L260" s="30"/>
      <c r="M260" s="30"/>
      <c r="N260" s="30"/>
    </row>
    <row r="261" spans="2:14">
      <c r="B261" s="30"/>
      <c r="C261" s="30"/>
      <c r="G261" s="30"/>
      <c r="H261" s="33"/>
      <c r="I261" s="37"/>
      <c r="J261" s="664"/>
      <c r="K261" s="37"/>
      <c r="L261" s="30"/>
      <c r="M261" s="30"/>
      <c r="N261" s="30"/>
    </row>
    <row r="262" spans="2:14">
      <c r="B262" s="30"/>
      <c r="C262" s="30"/>
      <c r="G262" s="30"/>
      <c r="H262" s="33"/>
      <c r="I262" s="37"/>
      <c r="J262" s="664"/>
      <c r="K262" s="37"/>
      <c r="L262" s="30"/>
      <c r="M262" s="30"/>
      <c r="N262" s="30"/>
    </row>
    <row r="263" spans="2:14">
      <c r="B263" s="30"/>
      <c r="C263" s="30"/>
      <c r="G263" s="30"/>
      <c r="H263" s="33"/>
      <c r="I263" s="37"/>
      <c r="J263" s="664"/>
      <c r="K263" s="37"/>
      <c r="L263" s="30"/>
      <c r="M263" s="30"/>
      <c r="N263" s="30"/>
    </row>
    <row r="264" spans="2:14">
      <c r="B264" s="30"/>
      <c r="C264" s="30"/>
      <c r="G264" s="30"/>
      <c r="H264" s="33"/>
      <c r="I264" s="37"/>
      <c r="J264" s="664"/>
      <c r="K264" s="37"/>
      <c r="L264" s="30"/>
      <c r="M264" s="30"/>
      <c r="N264" s="30"/>
    </row>
    <row r="265" spans="2:14">
      <c r="B265" s="30"/>
      <c r="C265" s="30"/>
      <c r="G265" s="30"/>
      <c r="H265" s="33"/>
      <c r="I265" s="37"/>
      <c r="J265" s="664"/>
      <c r="K265" s="37"/>
      <c r="L265" s="30"/>
      <c r="M265" s="30"/>
      <c r="N265" s="30"/>
    </row>
    <row r="266" spans="2:14">
      <c r="B266" s="30"/>
      <c r="C266" s="30"/>
      <c r="G266" s="30"/>
      <c r="H266" s="33"/>
      <c r="I266" s="37"/>
      <c r="J266" s="664"/>
      <c r="K266" s="37"/>
      <c r="L266" s="30"/>
      <c r="M266" s="30"/>
      <c r="N266" s="30"/>
    </row>
    <row r="267" spans="2:14">
      <c r="B267" s="30"/>
      <c r="C267" s="30"/>
      <c r="G267" s="30"/>
      <c r="H267" s="33"/>
      <c r="I267" s="37"/>
      <c r="J267" s="664"/>
      <c r="K267" s="37"/>
      <c r="L267" s="30"/>
      <c r="M267" s="30"/>
      <c r="N267" s="30"/>
    </row>
    <row r="268" spans="2:14">
      <c r="B268" s="30"/>
      <c r="C268" s="30"/>
      <c r="G268" s="30"/>
      <c r="H268" s="33"/>
      <c r="I268" s="37"/>
      <c r="J268" s="664"/>
      <c r="K268" s="37"/>
      <c r="L268" s="30"/>
      <c r="M268" s="30"/>
      <c r="N268" s="30"/>
    </row>
    <row r="269" spans="2:14">
      <c r="B269" s="30"/>
      <c r="C269" s="30"/>
      <c r="G269" s="30"/>
      <c r="H269" s="33"/>
      <c r="I269" s="37"/>
      <c r="J269" s="664"/>
      <c r="K269" s="37"/>
      <c r="L269" s="30"/>
      <c r="M269" s="30"/>
      <c r="N269" s="30"/>
    </row>
    <row r="270" spans="2:14">
      <c r="B270" s="30"/>
      <c r="C270" s="30"/>
      <c r="G270" s="30"/>
      <c r="H270" s="33"/>
      <c r="I270" s="37"/>
      <c r="J270" s="664"/>
      <c r="K270" s="37"/>
      <c r="L270" s="30"/>
      <c r="M270" s="30"/>
      <c r="N270" s="30"/>
    </row>
    <row r="271" spans="2:14">
      <c r="B271" s="30"/>
      <c r="C271" s="30"/>
      <c r="G271" s="30"/>
      <c r="H271" s="33"/>
      <c r="I271" s="37"/>
      <c r="J271" s="664"/>
      <c r="K271" s="37"/>
      <c r="L271" s="30"/>
      <c r="M271" s="30"/>
      <c r="N271" s="30"/>
    </row>
    <row r="272" spans="2:14">
      <c r="B272" s="30"/>
      <c r="C272" s="30"/>
      <c r="G272" s="30"/>
      <c r="H272" s="33"/>
      <c r="I272" s="37"/>
      <c r="J272" s="664"/>
      <c r="K272" s="37"/>
      <c r="L272" s="30"/>
      <c r="M272" s="30"/>
      <c r="N272" s="30"/>
    </row>
    <row r="273" spans="2:14">
      <c r="B273" s="30"/>
      <c r="C273" s="30"/>
      <c r="G273" s="30"/>
      <c r="H273" s="33"/>
      <c r="I273" s="37"/>
      <c r="J273" s="664"/>
      <c r="K273" s="37"/>
      <c r="L273" s="30"/>
      <c r="M273" s="30"/>
      <c r="N273" s="30"/>
    </row>
    <row r="274" spans="2:14">
      <c r="B274" s="30"/>
      <c r="C274" s="30"/>
      <c r="G274" s="30"/>
      <c r="H274" s="33"/>
      <c r="I274" s="37"/>
      <c r="J274" s="664"/>
      <c r="K274" s="37"/>
      <c r="L274" s="30"/>
      <c r="M274" s="30"/>
      <c r="N274" s="30"/>
    </row>
    <row r="275" spans="2:14">
      <c r="B275" s="30"/>
      <c r="C275" s="30"/>
      <c r="G275" s="30"/>
      <c r="H275" s="33"/>
      <c r="I275" s="37"/>
      <c r="J275" s="664"/>
      <c r="K275" s="37"/>
      <c r="L275" s="30"/>
      <c r="M275" s="30"/>
      <c r="N275" s="30"/>
    </row>
    <row r="276" spans="2:14">
      <c r="B276" s="30"/>
      <c r="C276" s="30"/>
      <c r="G276" s="30"/>
      <c r="H276" s="33"/>
      <c r="I276" s="37"/>
      <c r="J276" s="664"/>
      <c r="K276" s="37"/>
      <c r="L276" s="30"/>
      <c r="M276" s="30"/>
      <c r="N276" s="30"/>
    </row>
    <row r="277" spans="2:14">
      <c r="B277" s="30"/>
      <c r="C277" s="30"/>
      <c r="G277" s="30"/>
      <c r="H277" s="33"/>
      <c r="I277" s="37"/>
      <c r="J277" s="664"/>
      <c r="K277" s="37"/>
      <c r="L277" s="30"/>
      <c r="M277" s="30"/>
      <c r="N277" s="30"/>
    </row>
    <row r="278" spans="2:14">
      <c r="B278" s="30"/>
      <c r="C278" s="30"/>
      <c r="G278" s="30"/>
      <c r="H278" s="33"/>
      <c r="I278" s="37"/>
      <c r="J278" s="664"/>
      <c r="K278" s="37"/>
      <c r="L278" s="30"/>
      <c r="M278" s="30"/>
      <c r="N278" s="30"/>
    </row>
    <row r="279" spans="2:14">
      <c r="B279" s="30"/>
      <c r="C279" s="30"/>
      <c r="G279" s="30"/>
      <c r="H279" s="33"/>
      <c r="I279" s="37"/>
      <c r="J279" s="664"/>
      <c r="K279" s="37"/>
      <c r="L279" s="30"/>
      <c r="M279" s="30"/>
      <c r="N279" s="30"/>
    </row>
    <row r="280" spans="2:14">
      <c r="B280" s="30"/>
      <c r="C280" s="30"/>
      <c r="G280" s="30"/>
      <c r="H280" s="33"/>
      <c r="I280" s="37"/>
      <c r="J280" s="664"/>
      <c r="K280" s="37"/>
      <c r="L280" s="30"/>
      <c r="M280" s="30"/>
      <c r="N280" s="30"/>
    </row>
    <row r="281" spans="2:14">
      <c r="B281" s="30"/>
      <c r="C281" s="30"/>
      <c r="G281" s="30"/>
      <c r="H281" s="33"/>
      <c r="I281" s="37"/>
      <c r="J281" s="664"/>
      <c r="K281" s="37"/>
      <c r="L281" s="30"/>
      <c r="M281" s="30"/>
      <c r="N281" s="30"/>
    </row>
    <row r="282" spans="2:14">
      <c r="B282" s="30"/>
      <c r="C282" s="30"/>
      <c r="G282" s="30"/>
      <c r="H282" s="33"/>
      <c r="I282" s="37"/>
      <c r="J282" s="664"/>
      <c r="K282" s="37"/>
      <c r="L282" s="30"/>
      <c r="M282" s="30"/>
      <c r="N282" s="30"/>
    </row>
    <row r="283" spans="2:14">
      <c r="B283" s="30"/>
      <c r="C283" s="30"/>
      <c r="G283" s="30"/>
      <c r="H283" s="33"/>
      <c r="I283" s="37"/>
      <c r="J283" s="664"/>
      <c r="K283" s="37"/>
      <c r="L283" s="30"/>
      <c r="M283" s="30"/>
      <c r="N283" s="30"/>
    </row>
    <row r="284" spans="2:14">
      <c r="B284" s="30"/>
      <c r="C284" s="30"/>
      <c r="G284" s="30"/>
      <c r="H284" s="33"/>
      <c r="I284" s="37"/>
      <c r="J284" s="664"/>
      <c r="K284" s="37"/>
      <c r="L284" s="30"/>
      <c r="M284" s="30"/>
      <c r="N284" s="30"/>
    </row>
    <row r="285" spans="2:14">
      <c r="B285" s="30"/>
      <c r="C285" s="30"/>
      <c r="G285" s="30"/>
      <c r="H285" s="33"/>
      <c r="I285" s="37"/>
      <c r="J285" s="664"/>
      <c r="K285" s="37"/>
      <c r="L285" s="30"/>
      <c r="M285" s="30"/>
      <c r="N285" s="30"/>
    </row>
    <row r="286" spans="2:14">
      <c r="B286" s="30"/>
      <c r="C286" s="30"/>
      <c r="G286" s="30"/>
      <c r="H286" s="33"/>
      <c r="I286" s="37"/>
      <c r="J286" s="664"/>
      <c r="K286" s="37"/>
      <c r="L286" s="30"/>
      <c r="M286" s="30"/>
      <c r="N286" s="30"/>
    </row>
    <row r="287" spans="2:14">
      <c r="B287" s="30"/>
      <c r="C287" s="30"/>
      <c r="G287" s="30"/>
      <c r="H287" s="33"/>
      <c r="I287" s="37"/>
      <c r="J287" s="664"/>
      <c r="K287" s="37"/>
      <c r="L287" s="30"/>
      <c r="M287" s="30"/>
      <c r="N287" s="30"/>
    </row>
    <row r="288" spans="2:14">
      <c r="B288" s="30"/>
      <c r="C288" s="30"/>
      <c r="G288" s="30"/>
      <c r="H288" s="33"/>
      <c r="I288" s="37"/>
      <c r="J288" s="664"/>
      <c r="K288" s="37"/>
      <c r="L288" s="30"/>
      <c r="M288" s="30"/>
      <c r="N288" s="30"/>
    </row>
    <row r="289" spans="2:14">
      <c r="B289" s="30"/>
      <c r="C289" s="30"/>
      <c r="G289" s="30"/>
      <c r="H289" s="33"/>
      <c r="I289" s="37"/>
      <c r="J289" s="664"/>
      <c r="K289" s="37"/>
      <c r="L289" s="30"/>
      <c r="M289" s="30"/>
      <c r="N289" s="30"/>
    </row>
    <row r="290" spans="2:14">
      <c r="B290" s="30"/>
      <c r="C290" s="30"/>
      <c r="G290" s="30"/>
      <c r="H290" s="33"/>
      <c r="I290" s="37"/>
      <c r="J290" s="664"/>
      <c r="K290" s="37"/>
      <c r="L290" s="30"/>
      <c r="M290" s="30"/>
      <c r="N290" s="30"/>
    </row>
    <row r="291" spans="2:14">
      <c r="B291" s="30"/>
      <c r="C291" s="30"/>
      <c r="G291" s="30"/>
      <c r="H291" s="33"/>
      <c r="I291" s="37"/>
      <c r="J291" s="664"/>
      <c r="K291" s="37"/>
      <c r="L291" s="30"/>
      <c r="M291" s="30"/>
      <c r="N291" s="30"/>
    </row>
    <row r="292" spans="2:14">
      <c r="B292" s="30"/>
      <c r="C292" s="30"/>
      <c r="G292" s="30"/>
      <c r="H292" s="33"/>
      <c r="I292" s="37"/>
      <c r="J292" s="664"/>
      <c r="K292" s="37"/>
      <c r="L292" s="30"/>
      <c r="M292" s="30"/>
      <c r="N292" s="30"/>
    </row>
    <row r="293" spans="2:14">
      <c r="B293" s="30"/>
      <c r="C293" s="30"/>
      <c r="G293" s="30"/>
      <c r="H293" s="33"/>
      <c r="I293" s="37"/>
      <c r="J293" s="664"/>
      <c r="K293" s="37"/>
      <c r="L293" s="30"/>
      <c r="M293" s="30"/>
      <c r="N293" s="30"/>
    </row>
    <row r="294" spans="2:14">
      <c r="B294" s="30"/>
      <c r="C294" s="30"/>
      <c r="G294" s="30"/>
      <c r="H294" s="33"/>
      <c r="I294" s="37"/>
      <c r="J294" s="664"/>
      <c r="K294" s="37"/>
      <c r="L294" s="30"/>
      <c r="M294" s="30"/>
      <c r="N294" s="30"/>
    </row>
    <row r="295" spans="2:14">
      <c r="B295" s="30"/>
      <c r="C295" s="30"/>
      <c r="G295" s="30"/>
      <c r="H295" s="33"/>
      <c r="I295" s="37"/>
      <c r="J295" s="664"/>
      <c r="K295" s="37"/>
      <c r="L295" s="30"/>
      <c r="M295" s="30"/>
      <c r="N295" s="30"/>
    </row>
    <row r="296" spans="2:14">
      <c r="B296" s="30"/>
      <c r="C296" s="30"/>
      <c r="G296" s="30"/>
      <c r="H296" s="33"/>
      <c r="I296" s="37"/>
      <c r="J296" s="664"/>
      <c r="K296" s="37"/>
      <c r="L296" s="30"/>
      <c r="M296" s="30"/>
      <c r="N296" s="30"/>
    </row>
    <row r="297" spans="2:14">
      <c r="B297" s="30"/>
      <c r="C297" s="30"/>
      <c r="G297" s="30"/>
      <c r="H297" s="33"/>
      <c r="I297" s="37"/>
      <c r="J297" s="664"/>
      <c r="K297" s="37"/>
      <c r="L297" s="30"/>
      <c r="M297" s="30"/>
      <c r="N297" s="30"/>
    </row>
    <row r="298" spans="2:14">
      <c r="B298" s="30"/>
      <c r="C298" s="30"/>
      <c r="G298" s="30"/>
      <c r="H298" s="33"/>
      <c r="I298" s="37"/>
      <c r="J298" s="664"/>
      <c r="K298" s="37"/>
      <c r="L298" s="30"/>
      <c r="M298" s="30"/>
      <c r="N298" s="30"/>
    </row>
    <row r="299" spans="2:14">
      <c r="B299" s="30"/>
      <c r="C299" s="30"/>
      <c r="G299" s="30"/>
      <c r="H299" s="33"/>
      <c r="I299" s="37"/>
      <c r="J299" s="664"/>
      <c r="K299" s="37"/>
      <c r="L299" s="30"/>
      <c r="M299" s="30"/>
      <c r="N299" s="30"/>
    </row>
    <row r="300" spans="2:14">
      <c r="B300" s="30"/>
      <c r="C300" s="30"/>
      <c r="G300" s="30"/>
      <c r="H300" s="33"/>
      <c r="I300" s="37"/>
      <c r="J300" s="664"/>
      <c r="K300" s="37"/>
      <c r="L300" s="30"/>
      <c r="M300" s="30"/>
      <c r="N300" s="30"/>
    </row>
    <row r="301" spans="2:14">
      <c r="B301" s="30"/>
      <c r="C301" s="30"/>
      <c r="G301" s="30"/>
      <c r="H301" s="33"/>
      <c r="I301" s="37"/>
      <c r="J301" s="664"/>
      <c r="K301" s="37"/>
      <c r="L301" s="30"/>
      <c r="M301" s="30"/>
      <c r="N301" s="30"/>
    </row>
    <row r="302" spans="2:14">
      <c r="B302" s="30"/>
      <c r="C302" s="30"/>
      <c r="G302" s="30"/>
      <c r="H302" s="33"/>
      <c r="I302" s="37"/>
      <c r="J302" s="664"/>
      <c r="K302" s="37"/>
      <c r="L302" s="30"/>
      <c r="M302" s="30"/>
      <c r="N302" s="30"/>
    </row>
    <row r="303" spans="2:14">
      <c r="B303" s="30"/>
      <c r="C303" s="30"/>
      <c r="G303" s="30"/>
      <c r="H303" s="33"/>
      <c r="I303" s="37"/>
      <c r="J303" s="664"/>
      <c r="K303" s="37"/>
      <c r="L303" s="30"/>
      <c r="M303" s="30"/>
      <c r="N303" s="30"/>
    </row>
    <row r="304" spans="2:14">
      <c r="B304" s="30"/>
      <c r="C304" s="30"/>
      <c r="G304" s="30"/>
      <c r="H304" s="33"/>
      <c r="I304" s="37"/>
      <c r="J304" s="664"/>
      <c r="K304" s="37"/>
      <c r="L304" s="30"/>
      <c r="M304" s="30"/>
      <c r="N304" s="30"/>
    </row>
    <row r="305" spans="2:14">
      <c r="B305" s="30"/>
      <c r="C305" s="30"/>
      <c r="G305" s="30"/>
      <c r="H305" s="33"/>
      <c r="I305" s="37"/>
      <c r="J305" s="664"/>
      <c r="K305" s="37"/>
      <c r="L305" s="30"/>
      <c r="M305" s="30"/>
      <c r="N305" s="30"/>
    </row>
    <row r="306" spans="2:14">
      <c r="B306" s="30"/>
      <c r="C306" s="30"/>
      <c r="G306" s="30"/>
      <c r="H306" s="33"/>
      <c r="I306" s="37"/>
      <c r="J306" s="664"/>
      <c r="K306" s="37"/>
      <c r="L306" s="30"/>
      <c r="M306" s="30"/>
      <c r="N306" s="30"/>
    </row>
    <row r="307" spans="2:14">
      <c r="B307" s="30"/>
      <c r="C307" s="30"/>
      <c r="G307" s="30"/>
      <c r="H307" s="33"/>
      <c r="I307" s="37"/>
      <c r="J307" s="664"/>
      <c r="K307" s="37"/>
      <c r="L307" s="30"/>
      <c r="M307" s="30"/>
      <c r="N307" s="30"/>
    </row>
    <row r="308" spans="2:14">
      <c r="B308" s="30"/>
      <c r="C308" s="30"/>
      <c r="G308" s="30"/>
      <c r="H308" s="33"/>
      <c r="I308" s="37"/>
      <c r="J308" s="664"/>
      <c r="K308" s="37"/>
      <c r="L308" s="30"/>
      <c r="M308" s="30"/>
      <c r="N308" s="30"/>
    </row>
    <row r="309" spans="2:14">
      <c r="B309" s="30"/>
      <c r="C309" s="30"/>
      <c r="G309" s="30"/>
      <c r="H309" s="33"/>
      <c r="I309" s="37"/>
      <c r="J309" s="664"/>
      <c r="K309" s="37"/>
      <c r="L309" s="30"/>
      <c r="M309" s="30"/>
      <c r="N309" s="30"/>
    </row>
    <row r="310" spans="2:14">
      <c r="B310" s="30"/>
      <c r="C310" s="30"/>
      <c r="G310" s="30"/>
      <c r="H310" s="33"/>
      <c r="I310" s="37"/>
      <c r="J310" s="664"/>
      <c r="K310" s="37"/>
      <c r="L310" s="30"/>
      <c r="M310" s="30"/>
      <c r="N310" s="30"/>
    </row>
    <row r="311" spans="2:14">
      <c r="B311" s="30"/>
      <c r="C311" s="30"/>
      <c r="G311" s="30"/>
      <c r="H311" s="33"/>
      <c r="I311" s="37"/>
      <c r="J311" s="664"/>
      <c r="K311" s="37"/>
      <c r="L311" s="30"/>
      <c r="M311" s="30"/>
      <c r="N311" s="30"/>
    </row>
    <row r="312" spans="2:14">
      <c r="B312" s="30"/>
      <c r="C312" s="30"/>
      <c r="G312" s="30"/>
      <c r="H312" s="33"/>
      <c r="I312" s="37"/>
      <c r="J312" s="664"/>
      <c r="K312" s="37"/>
      <c r="L312" s="30"/>
      <c r="M312" s="30"/>
      <c r="N312" s="30"/>
    </row>
    <row r="313" spans="2:14">
      <c r="B313" s="30"/>
      <c r="C313" s="30"/>
      <c r="G313" s="30"/>
      <c r="H313" s="33"/>
      <c r="I313" s="37"/>
      <c r="J313" s="664"/>
      <c r="K313" s="37"/>
      <c r="L313" s="30"/>
      <c r="M313" s="30"/>
      <c r="N313" s="30"/>
    </row>
    <row r="314" spans="2:14">
      <c r="B314" s="30"/>
      <c r="C314" s="30"/>
      <c r="G314" s="30"/>
      <c r="H314" s="33"/>
      <c r="I314" s="37"/>
      <c r="J314" s="664"/>
      <c r="K314" s="37"/>
      <c r="L314" s="30"/>
      <c r="M314" s="30"/>
      <c r="N314" s="30"/>
    </row>
    <row r="315" spans="2:14">
      <c r="B315" s="30"/>
      <c r="C315" s="30"/>
      <c r="G315" s="30"/>
      <c r="H315" s="33"/>
      <c r="I315" s="37"/>
      <c r="J315" s="664"/>
      <c r="K315" s="37"/>
      <c r="L315" s="30"/>
      <c r="M315" s="30"/>
      <c r="N315" s="30"/>
    </row>
    <row r="316" spans="2:14">
      <c r="B316" s="30"/>
      <c r="C316" s="30"/>
      <c r="G316" s="30"/>
      <c r="H316" s="33"/>
      <c r="I316" s="37"/>
      <c r="J316" s="664"/>
      <c r="K316" s="37"/>
      <c r="L316" s="30"/>
      <c r="M316" s="30"/>
      <c r="N316" s="30"/>
    </row>
    <row r="317" spans="2:14">
      <c r="B317" s="30"/>
      <c r="C317" s="30"/>
      <c r="G317" s="30"/>
      <c r="H317" s="33"/>
      <c r="I317" s="37"/>
      <c r="J317" s="664"/>
      <c r="K317" s="37"/>
      <c r="L317" s="30"/>
      <c r="M317" s="30"/>
      <c r="N317" s="30"/>
    </row>
    <row r="318" spans="2:14">
      <c r="B318" s="30"/>
      <c r="C318" s="30"/>
      <c r="G318" s="30"/>
      <c r="H318" s="33"/>
      <c r="I318" s="37"/>
      <c r="J318" s="664"/>
      <c r="K318" s="37"/>
      <c r="L318" s="30"/>
      <c r="M318" s="30"/>
      <c r="N318" s="30"/>
    </row>
    <row r="319" spans="2:14">
      <c r="B319" s="30"/>
      <c r="C319" s="30"/>
      <c r="G319" s="30"/>
      <c r="H319" s="33"/>
      <c r="I319" s="37"/>
      <c r="J319" s="664"/>
      <c r="K319" s="37"/>
      <c r="L319" s="30"/>
      <c r="M319" s="30"/>
      <c r="N319" s="30"/>
    </row>
    <row r="320" spans="2:14">
      <c r="B320" s="30"/>
      <c r="C320" s="30"/>
      <c r="G320" s="30"/>
      <c r="H320" s="33"/>
      <c r="I320" s="37"/>
      <c r="J320" s="664"/>
      <c r="K320" s="37"/>
      <c r="L320" s="30"/>
      <c r="M320" s="30"/>
      <c r="N320" s="30"/>
    </row>
    <row r="321" spans="2:14">
      <c r="B321" s="30"/>
      <c r="C321" s="30"/>
      <c r="G321" s="30"/>
      <c r="H321" s="33"/>
      <c r="I321" s="37"/>
      <c r="J321" s="664"/>
      <c r="K321" s="37"/>
      <c r="L321" s="30"/>
      <c r="M321" s="30"/>
      <c r="N321" s="30"/>
    </row>
    <row r="322" spans="2:14">
      <c r="B322" s="30"/>
      <c r="C322" s="30"/>
      <c r="G322" s="30"/>
      <c r="H322" s="33"/>
      <c r="I322" s="37"/>
      <c r="J322" s="664"/>
      <c r="K322" s="37"/>
      <c r="L322" s="30"/>
      <c r="M322" s="30"/>
      <c r="N322" s="30"/>
    </row>
    <row r="323" spans="2:14">
      <c r="B323" s="30"/>
      <c r="C323" s="30"/>
      <c r="G323" s="30"/>
      <c r="H323" s="33"/>
      <c r="I323" s="37"/>
      <c r="J323" s="664"/>
      <c r="K323" s="37"/>
      <c r="L323" s="30"/>
      <c r="M323" s="30"/>
      <c r="N323" s="30"/>
    </row>
    <row r="324" spans="2:14">
      <c r="B324" s="30"/>
      <c r="C324" s="30"/>
      <c r="G324" s="30"/>
      <c r="H324" s="33"/>
      <c r="I324" s="37"/>
      <c r="J324" s="664"/>
      <c r="K324" s="37"/>
      <c r="L324" s="30"/>
      <c r="M324" s="30"/>
      <c r="N324" s="30"/>
    </row>
    <row r="325" spans="2:14">
      <c r="B325" s="30"/>
      <c r="C325" s="30"/>
      <c r="G325" s="30"/>
      <c r="H325" s="33"/>
      <c r="I325" s="37"/>
      <c r="J325" s="664"/>
      <c r="K325" s="37"/>
      <c r="L325" s="30"/>
      <c r="M325" s="30"/>
      <c r="N325" s="30"/>
    </row>
    <row r="326" spans="2:14">
      <c r="B326" s="30"/>
      <c r="C326" s="30"/>
      <c r="G326" s="30"/>
      <c r="H326" s="33"/>
      <c r="I326" s="37"/>
      <c r="J326" s="664"/>
      <c r="K326" s="37"/>
      <c r="L326" s="30"/>
      <c r="M326" s="30"/>
      <c r="N326" s="30"/>
    </row>
    <row r="327" spans="2:14">
      <c r="B327" s="30"/>
      <c r="C327" s="30"/>
      <c r="G327" s="30"/>
      <c r="H327" s="33"/>
      <c r="I327" s="37"/>
      <c r="J327" s="664"/>
      <c r="K327" s="37"/>
      <c r="L327" s="30"/>
      <c r="M327" s="30"/>
      <c r="N327" s="30"/>
    </row>
    <row r="328" spans="2:14">
      <c r="B328" s="30"/>
      <c r="C328" s="30"/>
      <c r="G328" s="30"/>
      <c r="H328" s="33"/>
      <c r="I328" s="37"/>
      <c r="J328" s="664"/>
      <c r="K328" s="37"/>
      <c r="L328" s="30"/>
      <c r="M328" s="30"/>
      <c r="N328" s="30"/>
    </row>
    <row r="329" spans="2:14">
      <c r="B329" s="30"/>
      <c r="C329" s="30"/>
      <c r="G329" s="30"/>
      <c r="H329" s="33"/>
      <c r="I329" s="37"/>
      <c r="J329" s="664"/>
      <c r="K329" s="37"/>
      <c r="L329" s="30"/>
      <c r="M329" s="30"/>
      <c r="N329" s="30"/>
    </row>
    <row r="330" spans="2:14">
      <c r="B330" s="30"/>
      <c r="C330" s="30"/>
      <c r="G330" s="30"/>
      <c r="H330" s="33"/>
      <c r="I330" s="37"/>
      <c r="J330" s="664"/>
      <c r="K330" s="37"/>
      <c r="L330" s="30"/>
      <c r="M330" s="30"/>
      <c r="N330" s="30"/>
    </row>
    <row r="331" spans="2:14">
      <c r="B331" s="30"/>
      <c r="C331" s="30"/>
      <c r="G331" s="30"/>
      <c r="H331" s="33"/>
      <c r="I331" s="37"/>
      <c r="J331" s="664"/>
      <c r="K331" s="37"/>
      <c r="L331" s="30"/>
      <c r="M331" s="30"/>
      <c r="N331" s="30"/>
    </row>
    <row r="332" spans="2:14">
      <c r="B332" s="30"/>
      <c r="C332" s="30"/>
      <c r="G332" s="30"/>
      <c r="H332" s="33"/>
      <c r="I332" s="37"/>
      <c r="J332" s="664"/>
      <c r="K332" s="37"/>
      <c r="L332" s="30"/>
      <c r="M332" s="30"/>
      <c r="N332" s="30"/>
    </row>
    <row r="333" spans="2:14">
      <c r="B333" s="30"/>
      <c r="C333" s="30"/>
      <c r="G333" s="30"/>
      <c r="H333" s="33"/>
      <c r="I333" s="37"/>
      <c r="J333" s="664"/>
      <c r="K333" s="37"/>
      <c r="L333" s="30"/>
      <c r="M333" s="30"/>
      <c r="N333" s="30"/>
    </row>
    <row r="334" spans="2:14">
      <c r="B334" s="30"/>
      <c r="C334" s="30"/>
      <c r="G334" s="30"/>
      <c r="H334" s="33"/>
      <c r="I334" s="37"/>
      <c r="J334" s="664"/>
      <c r="K334" s="37"/>
      <c r="L334" s="30"/>
      <c r="M334" s="30"/>
      <c r="N334" s="30"/>
    </row>
    <row r="335" spans="2:14">
      <c r="B335" s="30"/>
      <c r="C335" s="30"/>
      <c r="G335" s="30"/>
      <c r="H335" s="33"/>
      <c r="I335" s="37"/>
      <c r="J335" s="664"/>
      <c r="K335" s="37"/>
      <c r="L335" s="30"/>
      <c r="M335" s="30"/>
      <c r="N335" s="30"/>
    </row>
    <row r="336" spans="2:14">
      <c r="B336" s="30"/>
      <c r="C336" s="30"/>
      <c r="G336" s="30"/>
      <c r="H336" s="33"/>
      <c r="I336" s="37"/>
      <c r="J336" s="664"/>
      <c r="K336" s="37"/>
      <c r="L336" s="30"/>
      <c r="M336" s="30"/>
      <c r="N336" s="30"/>
    </row>
    <row r="337" spans="2:14">
      <c r="B337" s="30"/>
      <c r="C337" s="30"/>
      <c r="G337" s="30"/>
      <c r="H337" s="33"/>
      <c r="I337" s="37"/>
      <c r="J337" s="664"/>
      <c r="K337" s="37"/>
      <c r="L337" s="30"/>
      <c r="M337" s="30"/>
      <c r="N337" s="30"/>
    </row>
    <row r="338" spans="2:14">
      <c r="B338" s="30"/>
      <c r="C338" s="30"/>
      <c r="G338" s="30"/>
      <c r="H338" s="33"/>
      <c r="I338" s="37"/>
      <c r="J338" s="664"/>
      <c r="K338" s="37"/>
      <c r="L338" s="30"/>
      <c r="M338" s="30"/>
      <c r="N338" s="30"/>
    </row>
    <row r="339" spans="2:14">
      <c r="B339" s="30"/>
      <c r="C339" s="30"/>
      <c r="G339" s="30"/>
      <c r="H339" s="33"/>
      <c r="I339" s="37"/>
      <c r="J339" s="664"/>
      <c r="K339" s="37"/>
      <c r="L339" s="30"/>
      <c r="M339" s="30"/>
      <c r="N339" s="30"/>
    </row>
    <row r="340" spans="2:14">
      <c r="B340" s="30"/>
      <c r="C340" s="30"/>
      <c r="G340" s="30"/>
      <c r="H340" s="33"/>
      <c r="I340" s="37"/>
      <c r="J340" s="664"/>
      <c r="K340" s="37"/>
      <c r="L340" s="30"/>
      <c r="M340" s="30"/>
      <c r="N340" s="30"/>
    </row>
    <row r="341" spans="2:14">
      <c r="B341" s="30"/>
      <c r="C341" s="30"/>
      <c r="G341" s="30"/>
      <c r="H341" s="33"/>
      <c r="I341" s="37"/>
      <c r="J341" s="664"/>
      <c r="K341" s="37"/>
      <c r="L341" s="30"/>
      <c r="M341" s="30"/>
      <c r="N341" s="30"/>
    </row>
    <row r="342" spans="2:14">
      <c r="B342" s="30"/>
      <c r="C342" s="30"/>
      <c r="G342" s="30"/>
      <c r="H342" s="33"/>
      <c r="I342" s="37"/>
      <c r="J342" s="664"/>
      <c r="K342" s="37"/>
      <c r="L342" s="30"/>
      <c r="M342" s="30"/>
      <c r="N342" s="30"/>
    </row>
    <row r="343" spans="2:14">
      <c r="B343" s="30"/>
      <c r="C343" s="30"/>
      <c r="G343" s="30"/>
      <c r="H343" s="33"/>
      <c r="I343" s="37"/>
      <c r="J343" s="664"/>
      <c r="K343" s="37"/>
      <c r="L343" s="30"/>
      <c r="M343" s="30"/>
      <c r="N343" s="30"/>
    </row>
    <row r="344" spans="2:14">
      <c r="B344" s="30"/>
      <c r="C344" s="30"/>
      <c r="G344" s="30"/>
      <c r="H344" s="33"/>
      <c r="I344" s="37"/>
      <c r="J344" s="664"/>
      <c r="K344" s="37"/>
      <c r="L344" s="30"/>
      <c r="M344" s="30"/>
      <c r="N344" s="30"/>
    </row>
    <row r="345" spans="2:14">
      <c r="B345" s="30"/>
      <c r="C345" s="30"/>
      <c r="G345" s="30"/>
      <c r="H345" s="33"/>
      <c r="I345" s="37"/>
      <c r="J345" s="664"/>
      <c r="K345" s="37"/>
      <c r="L345" s="30"/>
      <c r="M345" s="30"/>
      <c r="N345" s="30"/>
    </row>
    <row r="346" spans="2:14">
      <c r="B346" s="30"/>
      <c r="C346" s="30"/>
      <c r="G346" s="30"/>
      <c r="H346" s="33"/>
      <c r="I346" s="37"/>
      <c r="J346" s="664"/>
      <c r="K346" s="37"/>
      <c r="L346" s="30"/>
      <c r="M346" s="30"/>
      <c r="N346" s="30"/>
    </row>
    <row r="347" spans="2:14">
      <c r="B347" s="30"/>
      <c r="C347" s="30"/>
      <c r="G347" s="30"/>
      <c r="H347" s="33"/>
      <c r="I347" s="37"/>
      <c r="J347" s="664"/>
      <c r="K347" s="37"/>
      <c r="L347" s="30"/>
      <c r="M347" s="30"/>
      <c r="N347" s="30"/>
    </row>
    <row r="348" spans="2:14">
      <c r="B348" s="30"/>
      <c r="C348" s="30"/>
      <c r="G348" s="30"/>
      <c r="H348" s="33"/>
      <c r="I348" s="37"/>
      <c r="J348" s="664"/>
      <c r="K348" s="37"/>
      <c r="L348" s="30"/>
      <c r="M348" s="30"/>
      <c r="N348" s="30"/>
    </row>
    <row r="349" spans="2:14">
      <c r="B349" s="30"/>
      <c r="C349" s="30"/>
      <c r="G349" s="30"/>
      <c r="H349" s="33"/>
      <c r="I349" s="37"/>
      <c r="J349" s="664"/>
      <c r="K349" s="37"/>
      <c r="L349" s="30"/>
      <c r="M349" s="30"/>
      <c r="N349" s="30"/>
    </row>
    <row r="350" spans="2:14">
      <c r="B350" s="30"/>
      <c r="C350" s="30"/>
      <c r="G350" s="30"/>
      <c r="H350" s="33"/>
      <c r="I350" s="37"/>
      <c r="J350" s="664"/>
      <c r="K350" s="37"/>
      <c r="L350" s="30"/>
      <c r="M350" s="30"/>
      <c r="N350" s="30"/>
    </row>
    <row r="351" spans="2:14">
      <c r="B351" s="30"/>
      <c r="C351" s="30"/>
      <c r="G351" s="30"/>
      <c r="H351" s="33"/>
      <c r="I351" s="37"/>
      <c r="J351" s="664"/>
      <c r="K351" s="37"/>
      <c r="L351" s="30"/>
      <c r="M351" s="30"/>
      <c r="N351" s="30"/>
    </row>
    <row r="352" spans="2:14">
      <c r="B352" s="30"/>
      <c r="C352" s="30"/>
      <c r="G352" s="30"/>
      <c r="H352" s="33"/>
      <c r="I352" s="37"/>
      <c r="J352" s="664"/>
      <c r="K352" s="37"/>
      <c r="L352" s="30"/>
      <c r="M352" s="30"/>
      <c r="N352" s="30"/>
    </row>
    <row r="353" spans="2:14">
      <c r="B353" s="30"/>
      <c r="C353" s="30"/>
      <c r="G353" s="30"/>
      <c r="H353" s="33"/>
      <c r="I353" s="37"/>
      <c r="J353" s="664"/>
      <c r="K353" s="37"/>
      <c r="L353" s="30"/>
      <c r="M353" s="30"/>
      <c r="N353" s="30"/>
    </row>
    <row r="354" spans="2:14">
      <c r="B354" s="30"/>
      <c r="C354" s="30"/>
      <c r="G354" s="30"/>
      <c r="H354" s="33"/>
      <c r="I354" s="37"/>
      <c r="J354" s="664"/>
      <c r="K354" s="37"/>
      <c r="L354" s="30"/>
      <c r="M354" s="30"/>
      <c r="N354" s="30"/>
    </row>
    <row r="355" spans="2:14">
      <c r="B355" s="30"/>
      <c r="C355" s="30"/>
      <c r="G355" s="30"/>
      <c r="H355" s="33"/>
      <c r="I355" s="37"/>
      <c r="J355" s="664"/>
      <c r="K355" s="37"/>
      <c r="L355" s="30"/>
      <c r="M355" s="30"/>
      <c r="N355" s="30"/>
    </row>
    <row r="356" spans="2:14">
      <c r="B356" s="30"/>
      <c r="C356" s="30"/>
      <c r="G356" s="30"/>
      <c r="H356" s="33"/>
      <c r="I356" s="37"/>
      <c r="J356" s="664"/>
      <c r="K356" s="37"/>
      <c r="L356" s="30"/>
      <c r="M356" s="30"/>
      <c r="N356" s="30"/>
    </row>
    <row r="357" spans="2:14">
      <c r="B357" s="30"/>
      <c r="C357" s="30"/>
      <c r="G357" s="30"/>
      <c r="H357" s="33"/>
      <c r="I357" s="37"/>
      <c r="J357" s="664"/>
      <c r="K357" s="37"/>
      <c r="L357" s="30"/>
      <c r="M357" s="30"/>
      <c r="N357" s="30"/>
    </row>
    <row r="358" spans="2:14">
      <c r="B358" s="30"/>
      <c r="C358" s="30"/>
      <c r="G358" s="30"/>
      <c r="H358" s="33"/>
      <c r="I358" s="37"/>
      <c r="J358" s="664"/>
      <c r="K358" s="37"/>
      <c r="L358" s="30"/>
      <c r="M358" s="30"/>
      <c r="N358" s="30"/>
    </row>
    <row r="359" spans="2:14">
      <c r="B359" s="30"/>
      <c r="C359" s="30"/>
      <c r="G359" s="30"/>
      <c r="H359" s="33"/>
      <c r="I359" s="37"/>
      <c r="J359" s="664"/>
      <c r="K359" s="37"/>
      <c r="L359" s="30"/>
      <c r="M359" s="30"/>
      <c r="N359" s="30"/>
    </row>
    <row r="360" spans="2:14">
      <c r="B360" s="30"/>
      <c r="C360" s="30"/>
      <c r="G360" s="30"/>
      <c r="H360" s="33"/>
      <c r="I360" s="37"/>
      <c r="J360" s="664"/>
      <c r="K360" s="37"/>
      <c r="L360" s="30"/>
      <c r="M360" s="30"/>
      <c r="N360" s="30"/>
    </row>
    <row r="361" spans="2:14">
      <c r="B361" s="30"/>
      <c r="C361" s="30"/>
      <c r="G361" s="30"/>
      <c r="H361" s="33"/>
      <c r="I361" s="37"/>
      <c r="J361" s="664"/>
      <c r="K361" s="37"/>
      <c r="L361" s="30"/>
      <c r="M361" s="30"/>
      <c r="N361" s="30"/>
    </row>
    <row r="362" spans="2:14">
      <c r="B362" s="30"/>
      <c r="C362" s="30"/>
      <c r="G362" s="30"/>
      <c r="H362" s="33"/>
      <c r="I362" s="37"/>
      <c r="J362" s="664"/>
      <c r="K362" s="37"/>
      <c r="L362" s="30"/>
      <c r="M362" s="30"/>
      <c r="N362" s="30"/>
    </row>
    <row r="363" spans="2:14">
      <c r="B363" s="30"/>
      <c r="C363" s="30"/>
      <c r="G363" s="30"/>
      <c r="H363" s="33"/>
      <c r="I363" s="37"/>
      <c r="J363" s="664"/>
      <c r="K363" s="37"/>
      <c r="L363" s="30"/>
      <c r="M363" s="30"/>
      <c r="N363" s="30"/>
    </row>
    <row r="364" spans="2:14">
      <c r="B364" s="30"/>
      <c r="C364" s="30"/>
      <c r="G364" s="30"/>
      <c r="H364" s="33"/>
      <c r="I364" s="37"/>
      <c r="J364" s="664"/>
      <c r="K364" s="37"/>
      <c r="L364" s="30"/>
      <c r="M364" s="30"/>
      <c r="N364" s="30"/>
    </row>
    <row r="365" spans="2:14">
      <c r="B365" s="30"/>
      <c r="C365" s="30"/>
      <c r="G365" s="30"/>
      <c r="H365" s="33"/>
      <c r="I365" s="37"/>
      <c r="J365" s="664"/>
      <c r="K365" s="37"/>
      <c r="L365" s="30"/>
      <c r="M365" s="30"/>
      <c r="N365" s="30"/>
    </row>
    <row r="366" spans="2:14">
      <c r="B366" s="30"/>
      <c r="C366" s="30"/>
      <c r="G366" s="30"/>
      <c r="H366" s="33"/>
      <c r="I366" s="37"/>
      <c r="J366" s="664"/>
      <c r="K366" s="37"/>
      <c r="L366" s="30"/>
      <c r="M366" s="30"/>
      <c r="N366" s="30"/>
    </row>
    <row r="367" spans="2:14">
      <c r="B367" s="30"/>
      <c r="C367" s="30"/>
      <c r="G367" s="30"/>
      <c r="H367" s="33"/>
      <c r="I367" s="37"/>
      <c r="J367" s="664"/>
      <c r="K367" s="37"/>
      <c r="L367" s="30"/>
      <c r="M367" s="30"/>
      <c r="N367" s="30"/>
    </row>
    <row r="368" spans="2:14">
      <c r="B368" s="30"/>
      <c r="C368" s="30"/>
      <c r="G368" s="30"/>
      <c r="H368" s="33"/>
      <c r="I368" s="37"/>
      <c r="J368" s="664"/>
      <c r="K368" s="37"/>
      <c r="L368" s="30"/>
      <c r="M368" s="30"/>
      <c r="N368" s="30"/>
    </row>
    <row r="369" spans="2:14">
      <c r="B369" s="30"/>
      <c r="C369" s="30"/>
      <c r="G369" s="30"/>
      <c r="H369" s="33"/>
      <c r="I369" s="37"/>
      <c r="J369" s="664"/>
      <c r="K369" s="37"/>
      <c r="L369" s="30"/>
      <c r="M369" s="30"/>
      <c r="N369" s="30"/>
    </row>
    <row r="370" spans="2:14">
      <c r="B370" s="30"/>
      <c r="C370" s="30"/>
      <c r="G370" s="30"/>
      <c r="H370" s="33"/>
      <c r="I370" s="37"/>
      <c r="J370" s="664"/>
      <c r="K370" s="37"/>
      <c r="L370" s="30"/>
      <c r="M370" s="30"/>
      <c r="N370" s="30"/>
    </row>
    <row r="371" spans="2:14">
      <c r="B371" s="30"/>
      <c r="C371" s="30"/>
      <c r="G371" s="30"/>
      <c r="H371" s="33"/>
      <c r="I371" s="37"/>
      <c r="J371" s="664"/>
      <c r="K371" s="37"/>
      <c r="L371" s="30"/>
      <c r="M371" s="30"/>
      <c r="N371" s="30"/>
    </row>
    <row r="372" spans="2:14">
      <c r="B372" s="30"/>
      <c r="C372" s="30"/>
      <c r="G372" s="30"/>
      <c r="H372" s="33"/>
      <c r="I372" s="37"/>
      <c r="J372" s="664"/>
      <c r="K372" s="37"/>
      <c r="L372" s="30"/>
      <c r="M372" s="30"/>
      <c r="N372" s="30"/>
    </row>
    <row r="373" spans="2:14">
      <c r="B373" s="30"/>
      <c r="C373" s="30"/>
      <c r="G373" s="30"/>
      <c r="H373" s="33"/>
      <c r="I373" s="37"/>
      <c r="J373" s="664"/>
      <c r="K373" s="37"/>
      <c r="L373" s="30"/>
      <c r="M373" s="30"/>
      <c r="N373" s="30"/>
    </row>
    <row r="374" spans="2:14">
      <c r="B374" s="30"/>
      <c r="C374" s="30"/>
      <c r="G374" s="30"/>
      <c r="H374" s="33"/>
      <c r="I374" s="37"/>
      <c r="J374" s="664"/>
      <c r="K374" s="37"/>
      <c r="L374" s="30"/>
      <c r="M374" s="30"/>
      <c r="N374" s="30"/>
    </row>
    <row r="375" spans="2:14">
      <c r="B375" s="30"/>
      <c r="C375" s="30"/>
      <c r="G375" s="30"/>
      <c r="H375" s="33"/>
      <c r="I375" s="37"/>
      <c r="J375" s="664"/>
      <c r="K375" s="37"/>
      <c r="L375" s="30"/>
      <c r="M375" s="30"/>
      <c r="N375" s="30"/>
    </row>
    <row r="376" spans="2:14">
      <c r="B376" s="30"/>
      <c r="C376" s="30"/>
      <c r="G376" s="30"/>
      <c r="H376" s="33"/>
      <c r="I376" s="37"/>
      <c r="J376" s="664"/>
      <c r="K376" s="37"/>
      <c r="L376" s="30"/>
      <c r="M376" s="30"/>
      <c r="N376" s="30"/>
    </row>
    <row r="377" spans="2:14">
      <c r="B377" s="30"/>
      <c r="C377" s="30"/>
      <c r="G377" s="30"/>
      <c r="H377" s="33"/>
      <c r="I377" s="37"/>
      <c r="J377" s="664"/>
      <c r="K377" s="37"/>
      <c r="L377" s="30"/>
      <c r="M377" s="30"/>
      <c r="N377" s="30"/>
    </row>
    <row r="378" spans="2:14">
      <c r="B378" s="30"/>
      <c r="C378" s="30"/>
      <c r="G378" s="30"/>
      <c r="H378" s="33"/>
      <c r="I378" s="37"/>
      <c r="J378" s="664"/>
      <c r="K378" s="37"/>
      <c r="L378" s="30"/>
      <c r="M378" s="30"/>
      <c r="N378" s="30"/>
    </row>
    <row r="379" spans="2:14">
      <c r="B379" s="30"/>
      <c r="C379" s="30"/>
      <c r="G379" s="30"/>
      <c r="H379" s="33"/>
      <c r="I379" s="37"/>
      <c r="J379" s="664"/>
      <c r="K379" s="37"/>
      <c r="L379" s="30"/>
      <c r="M379" s="30"/>
      <c r="N379" s="30"/>
    </row>
    <row r="380" spans="2:14">
      <c r="B380" s="30"/>
      <c r="C380" s="30"/>
      <c r="G380" s="30"/>
      <c r="H380" s="33"/>
      <c r="I380" s="37"/>
      <c r="J380" s="664"/>
      <c r="K380" s="37"/>
      <c r="L380" s="30"/>
      <c r="M380" s="30"/>
      <c r="N380" s="30"/>
    </row>
    <row r="381" spans="2:14">
      <c r="B381" s="30"/>
      <c r="C381" s="30"/>
      <c r="G381" s="30"/>
      <c r="H381" s="33"/>
      <c r="I381" s="37"/>
      <c r="J381" s="664"/>
      <c r="K381" s="37"/>
      <c r="L381" s="30"/>
      <c r="M381" s="30"/>
      <c r="N381" s="30"/>
    </row>
    <row r="382" spans="2:14">
      <c r="B382" s="30"/>
      <c r="C382" s="30"/>
      <c r="G382" s="30"/>
      <c r="H382" s="33"/>
      <c r="I382" s="37"/>
      <c r="J382" s="664"/>
      <c r="K382" s="37"/>
      <c r="L382" s="30"/>
      <c r="M382" s="30"/>
      <c r="N382" s="30"/>
    </row>
    <row r="383" spans="2:14">
      <c r="B383" s="30"/>
      <c r="C383" s="30"/>
      <c r="G383" s="30"/>
      <c r="H383" s="33"/>
      <c r="I383" s="37"/>
      <c r="J383" s="664"/>
      <c r="K383" s="37"/>
      <c r="L383" s="30"/>
      <c r="M383" s="30"/>
      <c r="N383" s="30"/>
    </row>
    <row r="384" spans="2:14">
      <c r="B384" s="30"/>
      <c r="C384" s="30"/>
      <c r="G384" s="30"/>
      <c r="H384" s="33"/>
      <c r="I384" s="37"/>
      <c r="J384" s="664"/>
      <c r="K384" s="37"/>
      <c r="L384" s="30"/>
      <c r="M384" s="30"/>
      <c r="N384" s="30"/>
    </row>
    <row r="385" spans="2:14">
      <c r="B385" s="30"/>
      <c r="C385" s="30"/>
      <c r="G385" s="30"/>
      <c r="H385" s="33"/>
      <c r="I385" s="37"/>
      <c r="J385" s="664"/>
      <c r="K385" s="37"/>
      <c r="L385" s="30"/>
      <c r="M385" s="30"/>
      <c r="N385" s="30"/>
    </row>
    <row r="386" spans="2:14">
      <c r="B386" s="30"/>
      <c r="C386" s="30"/>
      <c r="G386" s="30"/>
      <c r="H386" s="33"/>
      <c r="I386" s="37"/>
      <c r="J386" s="664"/>
      <c r="K386" s="37"/>
      <c r="L386" s="30"/>
      <c r="M386" s="30"/>
      <c r="N386" s="30"/>
    </row>
    <row r="387" spans="2:14">
      <c r="B387" s="30"/>
      <c r="C387" s="30"/>
      <c r="G387" s="30"/>
      <c r="H387" s="33"/>
      <c r="I387" s="37"/>
      <c r="J387" s="664"/>
      <c r="K387" s="37"/>
      <c r="L387" s="30"/>
      <c r="M387" s="30"/>
      <c r="N387" s="30"/>
    </row>
    <row r="388" spans="2:14">
      <c r="B388" s="30"/>
      <c r="C388" s="30"/>
      <c r="G388" s="30"/>
      <c r="H388" s="33"/>
      <c r="I388" s="37"/>
      <c r="J388" s="664"/>
      <c r="K388" s="37"/>
      <c r="L388" s="30"/>
      <c r="M388" s="30"/>
      <c r="N388" s="30"/>
    </row>
    <row r="389" spans="2:14">
      <c r="B389" s="30"/>
      <c r="C389" s="30"/>
      <c r="G389" s="30"/>
      <c r="H389" s="33"/>
      <c r="I389" s="37"/>
      <c r="J389" s="664"/>
      <c r="K389" s="37"/>
      <c r="L389" s="30"/>
      <c r="M389" s="30"/>
      <c r="N389" s="30"/>
    </row>
    <row r="390" spans="2:14">
      <c r="B390" s="30"/>
      <c r="C390" s="30"/>
      <c r="G390" s="30"/>
      <c r="H390" s="33"/>
      <c r="I390" s="37"/>
      <c r="J390" s="664"/>
      <c r="K390" s="37"/>
      <c r="L390" s="30"/>
      <c r="M390" s="30"/>
      <c r="N390" s="30"/>
    </row>
    <row r="391" spans="2:14">
      <c r="B391" s="30"/>
      <c r="C391" s="30"/>
      <c r="G391" s="30"/>
      <c r="H391" s="33"/>
      <c r="I391" s="37"/>
      <c r="J391" s="664"/>
      <c r="K391" s="37"/>
      <c r="L391" s="30"/>
      <c r="M391" s="30"/>
      <c r="N391" s="30"/>
    </row>
    <row r="392" spans="2:14">
      <c r="B392" s="30"/>
      <c r="C392" s="30"/>
      <c r="G392" s="30"/>
      <c r="H392" s="33"/>
      <c r="I392" s="37"/>
      <c r="J392" s="664"/>
      <c r="K392" s="37"/>
      <c r="L392" s="30"/>
      <c r="M392" s="30"/>
      <c r="N392" s="30"/>
    </row>
    <row r="393" spans="2:14">
      <c r="B393" s="30"/>
      <c r="C393" s="30"/>
      <c r="G393" s="30"/>
      <c r="H393" s="33"/>
      <c r="I393" s="37"/>
      <c r="J393" s="664"/>
      <c r="K393" s="37"/>
      <c r="L393" s="30"/>
      <c r="M393" s="30"/>
      <c r="N393" s="30"/>
    </row>
    <row r="394" spans="2:14">
      <c r="B394" s="30"/>
      <c r="C394" s="30"/>
      <c r="G394" s="30"/>
      <c r="H394" s="33"/>
      <c r="I394" s="37"/>
      <c r="J394" s="664"/>
      <c r="K394" s="37"/>
      <c r="L394" s="30"/>
      <c r="M394" s="30"/>
      <c r="N394" s="30"/>
    </row>
    <row r="395" spans="2:14">
      <c r="B395" s="30"/>
      <c r="C395" s="30"/>
      <c r="G395" s="30"/>
      <c r="H395" s="33"/>
      <c r="I395" s="37"/>
      <c r="J395" s="664"/>
      <c r="K395" s="37"/>
      <c r="L395" s="30"/>
      <c r="M395" s="30"/>
      <c r="N395" s="30"/>
    </row>
    <row r="396" spans="2:14">
      <c r="B396" s="30"/>
      <c r="C396" s="30"/>
      <c r="G396" s="30"/>
      <c r="H396" s="33"/>
      <c r="I396" s="37"/>
      <c r="J396" s="664"/>
      <c r="K396" s="37"/>
      <c r="L396" s="30"/>
      <c r="M396" s="30"/>
      <c r="N396" s="30"/>
    </row>
    <row r="397" spans="2:14">
      <c r="B397" s="30"/>
      <c r="C397" s="30"/>
      <c r="G397" s="30"/>
      <c r="H397" s="33"/>
      <c r="I397" s="37"/>
      <c r="J397" s="664"/>
      <c r="K397" s="37"/>
      <c r="L397" s="30"/>
      <c r="M397" s="30"/>
      <c r="N397" s="30"/>
    </row>
    <row r="398" spans="2:14">
      <c r="B398" s="30"/>
      <c r="C398" s="30"/>
      <c r="G398" s="30"/>
      <c r="H398" s="33"/>
      <c r="I398" s="37"/>
      <c r="J398" s="664"/>
      <c r="K398" s="37"/>
      <c r="L398" s="30"/>
      <c r="M398" s="30"/>
      <c r="N398" s="30"/>
    </row>
    <row r="399" spans="2:14">
      <c r="B399" s="30"/>
      <c r="C399" s="30"/>
      <c r="G399" s="30"/>
      <c r="H399" s="33"/>
      <c r="I399" s="37"/>
      <c r="J399" s="664"/>
      <c r="K399" s="37"/>
      <c r="L399" s="30"/>
      <c r="M399" s="30"/>
      <c r="N399" s="30"/>
    </row>
    <row r="400" spans="2:14">
      <c r="B400" s="30"/>
      <c r="C400" s="30"/>
      <c r="G400" s="30"/>
      <c r="H400" s="33"/>
      <c r="I400" s="37"/>
      <c r="J400" s="664"/>
      <c r="K400" s="37"/>
      <c r="L400" s="30"/>
      <c r="M400" s="30"/>
      <c r="N400" s="30"/>
    </row>
    <row r="401" spans="2:14">
      <c r="B401" s="30"/>
      <c r="C401" s="30"/>
      <c r="G401" s="30"/>
      <c r="H401" s="33"/>
      <c r="I401" s="37"/>
      <c r="J401" s="664"/>
      <c r="K401" s="37"/>
      <c r="L401" s="30"/>
      <c r="M401" s="30"/>
      <c r="N401" s="30"/>
    </row>
    <row r="402" spans="2:14">
      <c r="B402" s="30"/>
      <c r="C402" s="30"/>
      <c r="G402" s="30"/>
      <c r="H402" s="33"/>
      <c r="I402" s="37"/>
      <c r="J402" s="664"/>
      <c r="K402" s="37"/>
      <c r="L402" s="30"/>
      <c r="M402" s="30"/>
      <c r="N402" s="30"/>
    </row>
    <row r="403" spans="2:14">
      <c r="B403" s="30"/>
      <c r="C403" s="30"/>
      <c r="G403" s="30"/>
      <c r="H403" s="33"/>
      <c r="I403" s="37"/>
      <c r="J403" s="664"/>
      <c r="K403" s="37"/>
      <c r="L403" s="30"/>
      <c r="M403" s="30"/>
      <c r="N403" s="30"/>
    </row>
    <row r="404" spans="2:14">
      <c r="B404" s="30"/>
      <c r="C404" s="30"/>
      <c r="G404" s="30"/>
      <c r="H404" s="33"/>
      <c r="I404" s="37"/>
      <c r="J404" s="664"/>
      <c r="K404" s="37"/>
      <c r="L404" s="30"/>
      <c r="M404" s="30"/>
      <c r="N404" s="30"/>
    </row>
    <row r="405" spans="2:14">
      <c r="B405" s="30"/>
      <c r="C405" s="30"/>
      <c r="G405" s="30"/>
      <c r="H405" s="33"/>
      <c r="I405" s="37"/>
      <c r="J405" s="664"/>
      <c r="K405" s="37"/>
      <c r="L405" s="30"/>
      <c r="M405" s="30"/>
      <c r="N405" s="30"/>
    </row>
    <row r="406" spans="2:14">
      <c r="B406" s="30"/>
      <c r="C406" s="30"/>
      <c r="G406" s="30"/>
      <c r="H406" s="33"/>
      <c r="I406" s="37"/>
      <c r="J406" s="664"/>
      <c r="K406" s="37"/>
      <c r="L406" s="30"/>
      <c r="M406" s="30"/>
      <c r="N406" s="30"/>
    </row>
    <row r="407" spans="2:14">
      <c r="B407" s="30"/>
      <c r="C407" s="30"/>
      <c r="G407" s="30"/>
      <c r="H407" s="33"/>
      <c r="I407" s="37"/>
      <c r="J407" s="664"/>
      <c r="K407" s="37"/>
      <c r="L407" s="30"/>
      <c r="M407" s="30"/>
      <c r="N407" s="30"/>
    </row>
    <row r="408" spans="2:14">
      <c r="B408" s="30"/>
      <c r="C408" s="30"/>
      <c r="G408" s="30"/>
      <c r="H408" s="33"/>
      <c r="I408" s="37"/>
      <c r="J408" s="664"/>
      <c r="K408" s="37"/>
      <c r="L408" s="30"/>
      <c r="M408" s="30"/>
      <c r="N408" s="30"/>
    </row>
    <row r="409" spans="2:14">
      <c r="B409" s="30"/>
      <c r="C409" s="30"/>
      <c r="G409" s="30"/>
      <c r="H409" s="33"/>
      <c r="I409" s="37"/>
      <c r="J409" s="664"/>
      <c r="K409" s="37"/>
      <c r="L409" s="30"/>
      <c r="M409" s="30"/>
      <c r="N409" s="30"/>
    </row>
    <row r="410" spans="2:14">
      <c r="B410" s="30"/>
      <c r="C410" s="30"/>
      <c r="G410" s="30"/>
      <c r="H410" s="33"/>
      <c r="I410" s="37"/>
      <c r="J410" s="664"/>
      <c r="K410" s="37"/>
      <c r="L410" s="30"/>
      <c r="M410" s="30"/>
      <c r="N410" s="30"/>
    </row>
    <row r="411" spans="2:14">
      <c r="B411" s="30"/>
      <c r="C411" s="30"/>
      <c r="G411" s="30"/>
      <c r="H411" s="33"/>
      <c r="I411" s="37"/>
      <c r="J411" s="664"/>
      <c r="K411" s="37"/>
      <c r="L411" s="30"/>
      <c r="M411" s="30"/>
      <c r="N411" s="30"/>
    </row>
    <row r="412" spans="2:14">
      <c r="B412" s="30"/>
      <c r="C412" s="30"/>
      <c r="G412" s="30"/>
      <c r="H412" s="33"/>
      <c r="I412" s="37"/>
      <c r="J412" s="664"/>
      <c r="K412" s="37"/>
      <c r="L412" s="30"/>
      <c r="M412" s="30"/>
      <c r="N412" s="30"/>
    </row>
    <row r="413" spans="2:14">
      <c r="B413" s="30"/>
      <c r="C413" s="30"/>
      <c r="G413" s="30"/>
      <c r="H413" s="33"/>
      <c r="I413" s="37"/>
      <c r="J413" s="664"/>
      <c r="K413" s="37"/>
      <c r="L413" s="30"/>
      <c r="M413" s="30"/>
      <c r="N413" s="30"/>
    </row>
    <row r="414" spans="2:14">
      <c r="B414" s="30"/>
      <c r="C414" s="30"/>
      <c r="G414" s="30"/>
      <c r="H414" s="33"/>
      <c r="I414" s="37"/>
      <c r="J414" s="664"/>
      <c r="K414" s="37"/>
      <c r="L414" s="30"/>
      <c r="M414" s="30"/>
      <c r="N414" s="30"/>
    </row>
    <row r="415" spans="2:14">
      <c r="B415" s="30"/>
      <c r="C415" s="30"/>
      <c r="G415" s="30"/>
      <c r="H415" s="33"/>
      <c r="I415" s="37"/>
      <c r="J415" s="664"/>
      <c r="K415" s="37"/>
      <c r="L415" s="30"/>
      <c r="M415" s="30"/>
      <c r="N415" s="30"/>
    </row>
    <row r="416" spans="2:14">
      <c r="B416" s="30"/>
      <c r="C416" s="30"/>
      <c r="G416" s="30"/>
      <c r="H416" s="33"/>
      <c r="I416" s="37"/>
      <c r="J416" s="664"/>
      <c r="K416" s="37"/>
      <c r="L416" s="30"/>
      <c r="M416" s="30"/>
      <c r="N416" s="30"/>
    </row>
    <row r="417" spans="2:14">
      <c r="B417" s="30"/>
      <c r="C417" s="30"/>
      <c r="G417" s="30"/>
      <c r="H417" s="33"/>
      <c r="I417" s="37"/>
      <c r="J417" s="664"/>
      <c r="K417" s="37"/>
      <c r="L417" s="30"/>
      <c r="M417" s="30"/>
      <c r="N417" s="30"/>
    </row>
    <row r="418" spans="2:14">
      <c r="B418" s="30"/>
      <c r="C418" s="30"/>
      <c r="G418" s="30"/>
      <c r="H418" s="33"/>
      <c r="I418" s="37"/>
      <c r="J418" s="664"/>
      <c r="K418" s="37"/>
      <c r="L418" s="30"/>
      <c r="M418" s="30"/>
      <c r="N418" s="30"/>
    </row>
    <row r="419" spans="2:14">
      <c r="B419" s="30"/>
      <c r="C419" s="30"/>
      <c r="G419" s="30"/>
      <c r="H419" s="33"/>
      <c r="I419" s="37"/>
      <c r="J419" s="664"/>
      <c r="K419" s="37"/>
      <c r="L419" s="30"/>
      <c r="M419" s="30"/>
      <c r="N419" s="30"/>
    </row>
    <row r="420" spans="2:14">
      <c r="B420" s="30"/>
      <c r="C420" s="30"/>
      <c r="G420" s="30"/>
      <c r="H420" s="33"/>
      <c r="I420" s="37"/>
      <c r="J420" s="664"/>
      <c r="K420" s="37"/>
      <c r="L420" s="30"/>
      <c r="M420" s="30"/>
      <c r="N420" s="30"/>
    </row>
    <row r="421" spans="2:14">
      <c r="B421" s="30"/>
      <c r="C421" s="30"/>
      <c r="G421" s="30"/>
      <c r="H421" s="33"/>
      <c r="I421" s="37"/>
      <c r="J421" s="664"/>
      <c r="K421" s="37"/>
      <c r="L421" s="30"/>
      <c r="M421" s="30"/>
      <c r="N421" s="30"/>
    </row>
    <row r="422" spans="2:14">
      <c r="B422" s="30"/>
      <c r="C422" s="30"/>
      <c r="G422" s="30"/>
      <c r="H422" s="33"/>
      <c r="I422" s="37"/>
      <c r="J422" s="664"/>
      <c r="K422" s="37"/>
      <c r="L422" s="30"/>
      <c r="M422" s="30"/>
      <c r="N422" s="30"/>
    </row>
    <row r="423" spans="2:14">
      <c r="B423" s="30"/>
      <c r="C423" s="30"/>
      <c r="G423" s="30"/>
      <c r="H423" s="33"/>
      <c r="I423" s="37"/>
      <c r="J423" s="664"/>
      <c r="K423" s="37"/>
      <c r="L423" s="30"/>
      <c r="M423" s="30"/>
      <c r="N423" s="30"/>
    </row>
    <row r="424" spans="2:14">
      <c r="B424" s="30"/>
      <c r="C424" s="30"/>
      <c r="G424" s="30"/>
      <c r="H424" s="33"/>
      <c r="I424" s="37"/>
      <c r="J424" s="664"/>
      <c r="K424" s="37"/>
      <c r="L424" s="30"/>
      <c r="M424" s="30"/>
      <c r="N424" s="30"/>
    </row>
    <row r="425" spans="2:14">
      <c r="B425" s="30"/>
      <c r="C425" s="30"/>
      <c r="G425" s="30"/>
      <c r="H425" s="33"/>
      <c r="I425" s="37"/>
      <c r="J425" s="664"/>
      <c r="K425" s="37"/>
      <c r="L425" s="30"/>
      <c r="M425" s="30"/>
      <c r="N425" s="30"/>
    </row>
    <row r="426" spans="2:14">
      <c r="B426" s="30"/>
      <c r="C426" s="30"/>
      <c r="G426" s="30"/>
      <c r="H426" s="33"/>
      <c r="I426" s="37"/>
      <c r="J426" s="664"/>
      <c r="K426" s="37"/>
      <c r="L426" s="30"/>
      <c r="M426" s="30"/>
      <c r="N426" s="30"/>
    </row>
    <row r="427" spans="2:14">
      <c r="B427" s="30"/>
      <c r="C427" s="30"/>
      <c r="G427" s="30"/>
      <c r="H427" s="33"/>
      <c r="I427" s="37"/>
      <c r="J427" s="664"/>
      <c r="K427" s="37"/>
      <c r="L427" s="30"/>
      <c r="M427" s="30"/>
      <c r="N427" s="30"/>
    </row>
    <row r="428" spans="2:14">
      <c r="B428" s="30"/>
      <c r="C428" s="30"/>
      <c r="G428" s="30"/>
      <c r="H428" s="33"/>
      <c r="I428" s="37"/>
      <c r="J428" s="664"/>
      <c r="K428" s="37"/>
      <c r="L428" s="30"/>
      <c r="M428" s="30"/>
      <c r="N428" s="30"/>
    </row>
    <row r="429" spans="2:14">
      <c r="B429" s="30"/>
      <c r="C429" s="30"/>
      <c r="G429" s="30"/>
      <c r="H429" s="33"/>
      <c r="I429" s="37"/>
      <c r="J429" s="664"/>
      <c r="K429" s="37"/>
      <c r="L429" s="30"/>
      <c r="M429" s="30"/>
      <c r="N429" s="30"/>
    </row>
    <row r="430" spans="2:14">
      <c r="B430" s="30"/>
      <c r="C430" s="30"/>
      <c r="G430" s="30"/>
      <c r="H430" s="33"/>
      <c r="I430" s="37"/>
      <c r="J430" s="664"/>
      <c r="K430" s="37"/>
      <c r="L430" s="30"/>
      <c r="M430" s="30"/>
      <c r="N430" s="30"/>
    </row>
    <row r="431" spans="2:14">
      <c r="B431" s="30"/>
      <c r="C431" s="30"/>
      <c r="G431" s="30"/>
      <c r="H431" s="33"/>
      <c r="I431" s="37"/>
      <c r="J431" s="664"/>
      <c r="K431" s="37"/>
      <c r="L431" s="30"/>
      <c r="M431" s="30"/>
      <c r="N431" s="30"/>
    </row>
    <row r="432" spans="2:14">
      <c r="B432" s="30"/>
      <c r="C432" s="30"/>
      <c r="G432" s="30"/>
      <c r="H432" s="33"/>
      <c r="I432" s="37"/>
      <c r="J432" s="664"/>
      <c r="K432" s="37"/>
      <c r="L432" s="30"/>
      <c r="M432" s="30"/>
      <c r="N432" s="30"/>
    </row>
    <row r="433" spans="2:14">
      <c r="B433" s="30"/>
      <c r="C433" s="30"/>
      <c r="G433" s="30"/>
      <c r="H433" s="33"/>
      <c r="I433" s="37"/>
      <c r="J433" s="664"/>
      <c r="K433" s="37"/>
      <c r="L433" s="30"/>
      <c r="M433" s="30"/>
      <c r="N433" s="30"/>
    </row>
    <row r="434" spans="2:14">
      <c r="B434" s="30"/>
      <c r="C434" s="30"/>
      <c r="G434" s="30"/>
      <c r="H434" s="33"/>
      <c r="I434" s="37"/>
      <c r="J434" s="664"/>
      <c r="K434" s="37"/>
      <c r="L434" s="30"/>
      <c r="M434" s="30"/>
      <c r="N434" s="30"/>
    </row>
    <row r="435" spans="2:14">
      <c r="B435" s="30"/>
      <c r="C435" s="30"/>
      <c r="G435" s="30"/>
      <c r="H435" s="33"/>
      <c r="I435" s="37"/>
      <c r="J435" s="664"/>
      <c r="K435" s="37"/>
      <c r="L435" s="30"/>
      <c r="M435" s="30"/>
      <c r="N435" s="30"/>
    </row>
    <row r="436" spans="2:14">
      <c r="B436" s="30"/>
      <c r="C436" s="30"/>
      <c r="G436" s="30"/>
      <c r="H436" s="33"/>
      <c r="I436" s="37"/>
      <c r="J436" s="664"/>
      <c r="K436" s="37"/>
      <c r="L436" s="30"/>
      <c r="M436" s="30"/>
      <c r="N436" s="30"/>
    </row>
    <row r="437" spans="2:14">
      <c r="B437" s="30"/>
      <c r="C437" s="30"/>
      <c r="G437" s="30"/>
      <c r="H437" s="33"/>
      <c r="I437" s="37"/>
      <c r="J437" s="664"/>
      <c r="K437" s="37"/>
      <c r="L437" s="30"/>
      <c r="M437" s="30"/>
      <c r="N437" s="30"/>
    </row>
    <row r="438" spans="2:14">
      <c r="B438" s="30"/>
      <c r="C438" s="30"/>
      <c r="G438" s="30"/>
      <c r="H438" s="33"/>
      <c r="I438" s="37"/>
      <c r="J438" s="664"/>
      <c r="K438" s="37"/>
      <c r="L438" s="30"/>
      <c r="M438" s="30"/>
      <c r="N438" s="30"/>
    </row>
    <row r="439" spans="2:14">
      <c r="B439" s="30"/>
      <c r="C439" s="30"/>
      <c r="G439" s="30"/>
      <c r="H439" s="33"/>
      <c r="I439" s="37"/>
      <c r="J439" s="664"/>
      <c r="K439" s="37"/>
      <c r="L439" s="30"/>
      <c r="M439" s="30"/>
      <c r="N439" s="30"/>
    </row>
    <row r="440" spans="2:14">
      <c r="B440" s="30"/>
      <c r="C440" s="30"/>
      <c r="G440" s="30"/>
      <c r="H440" s="33"/>
      <c r="I440" s="37"/>
      <c r="J440" s="664"/>
      <c r="K440" s="37"/>
      <c r="L440" s="30"/>
      <c r="M440" s="30"/>
      <c r="N440" s="30"/>
    </row>
    <row r="441" spans="2:14">
      <c r="B441" s="30"/>
      <c r="C441" s="30"/>
      <c r="G441" s="30"/>
      <c r="H441" s="33"/>
      <c r="I441" s="37"/>
      <c r="J441" s="664"/>
      <c r="K441" s="37"/>
      <c r="L441" s="30"/>
      <c r="M441" s="30"/>
      <c r="N441" s="30"/>
    </row>
    <row r="442" spans="2:14">
      <c r="B442" s="30"/>
      <c r="C442" s="30"/>
      <c r="G442" s="30"/>
      <c r="H442" s="33"/>
      <c r="I442" s="37"/>
      <c r="J442" s="664"/>
      <c r="K442" s="37"/>
      <c r="L442" s="30"/>
      <c r="M442" s="30"/>
      <c r="N442" s="30"/>
    </row>
    <row r="443" spans="2:14">
      <c r="B443" s="30"/>
      <c r="C443" s="30"/>
      <c r="G443" s="30"/>
      <c r="H443" s="33"/>
      <c r="I443" s="37"/>
      <c r="J443" s="664"/>
      <c r="K443" s="37"/>
      <c r="L443" s="30"/>
      <c r="M443" s="30"/>
      <c r="N443" s="30"/>
    </row>
    <row r="444" spans="2:14">
      <c r="B444" s="30"/>
      <c r="C444" s="30"/>
      <c r="G444" s="30"/>
      <c r="H444" s="33"/>
      <c r="I444" s="37"/>
      <c r="J444" s="664"/>
      <c r="K444" s="37"/>
      <c r="L444" s="30"/>
      <c r="M444" s="30"/>
      <c r="N444" s="30"/>
    </row>
    <row r="445" spans="2:14">
      <c r="B445" s="30"/>
      <c r="C445" s="30"/>
      <c r="G445" s="30"/>
      <c r="H445" s="33"/>
      <c r="I445" s="37"/>
      <c r="J445" s="664"/>
      <c r="K445" s="37"/>
      <c r="L445" s="30"/>
      <c r="M445" s="30"/>
      <c r="N445" s="30"/>
    </row>
    <row r="446" spans="2:14">
      <c r="B446" s="30"/>
      <c r="C446" s="30"/>
      <c r="G446" s="30"/>
      <c r="H446" s="33"/>
      <c r="I446" s="37"/>
      <c r="J446" s="664"/>
      <c r="K446" s="37"/>
      <c r="L446" s="30"/>
      <c r="M446" s="30"/>
      <c r="N446" s="30"/>
    </row>
    <row r="447" spans="2:14">
      <c r="B447" s="30"/>
      <c r="C447" s="30"/>
      <c r="G447" s="30"/>
      <c r="H447" s="33"/>
      <c r="I447" s="37"/>
      <c r="J447" s="664"/>
      <c r="K447" s="37"/>
      <c r="L447" s="30"/>
      <c r="M447" s="30"/>
      <c r="N447" s="30"/>
    </row>
    <row r="448" spans="2:14">
      <c r="B448" s="30"/>
      <c r="C448" s="30"/>
      <c r="G448" s="30"/>
      <c r="H448" s="33"/>
      <c r="I448" s="37"/>
      <c r="J448" s="664"/>
      <c r="K448" s="37"/>
      <c r="L448" s="30"/>
      <c r="M448" s="30"/>
      <c r="N448" s="30"/>
    </row>
    <row r="449" spans="2:14">
      <c r="B449" s="30"/>
      <c r="C449" s="30"/>
      <c r="G449" s="30"/>
      <c r="H449" s="33"/>
      <c r="I449" s="37"/>
      <c r="J449" s="664"/>
      <c r="K449" s="37"/>
      <c r="L449" s="30"/>
      <c r="M449" s="30"/>
      <c r="N449" s="30"/>
    </row>
    <row r="450" spans="2:14">
      <c r="B450" s="30"/>
      <c r="C450" s="30"/>
      <c r="G450" s="30"/>
      <c r="H450" s="33"/>
      <c r="I450" s="37"/>
      <c r="J450" s="664"/>
      <c r="K450" s="37"/>
      <c r="L450" s="30"/>
      <c r="M450" s="30"/>
      <c r="N450" s="30"/>
    </row>
    <row r="451" spans="2:14">
      <c r="B451" s="30"/>
      <c r="C451" s="30"/>
      <c r="G451" s="30"/>
      <c r="H451" s="33"/>
      <c r="I451" s="37"/>
      <c r="J451" s="664"/>
      <c r="K451" s="37"/>
      <c r="L451" s="30"/>
      <c r="M451" s="30"/>
      <c r="N451" s="30"/>
    </row>
    <row r="452" spans="2:14">
      <c r="B452" s="30"/>
      <c r="C452" s="30"/>
      <c r="G452" s="30"/>
      <c r="H452" s="33"/>
      <c r="I452" s="37"/>
      <c r="J452" s="664"/>
      <c r="K452" s="37"/>
      <c r="L452" s="30"/>
      <c r="M452" s="30"/>
      <c r="N452" s="30"/>
    </row>
    <row r="453" spans="2:14">
      <c r="B453" s="30"/>
      <c r="C453" s="30"/>
      <c r="G453" s="30"/>
      <c r="H453" s="33"/>
      <c r="I453" s="37"/>
      <c r="J453" s="664"/>
      <c r="K453" s="37"/>
      <c r="L453" s="30"/>
      <c r="M453" s="30"/>
      <c r="N453" s="30"/>
    </row>
    <row r="454" spans="2:14">
      <c r="B454" s="30"/>
      <c r="C454" s="30"/>
      <c r="G454" s="30"/>
      <c r="H454" s="33"/>
      <c r="I454" s="37"/>
      <c r="J454" s="664"/>
      <c r="K454" s="37"/>
      <c r="L454" s="30"/>
      <c r="M454" s="30"/>
      <c r="N454" s="30"/>
    </row>
    <row r="455" spans="2:14">
      <c r="B455" s="30"/>
      <c r="C455" s="30"/>
      <c r="G455" s="30"/>
      <c r="H455" s="33"/>
      <c r="I455" s="37"/>
      <c r="J455" s="664"/>
      <c r="K455" s="37"/>
      <c r="L455" s="30"/>
      <c r="M455" s="30"/>
      <c r="N455" s="30"/>
    </row>
    <row r="456" spans="2:14">
      <c r="B456" s="30"/>
      <c r="C456" s="30"/>
      <c r="G456" s="30"/>
      <c r="H456" s="33"/>
      <c r="I456" s="37"/>
      <c r="J456" s="664"/>
      <c r="K456" s="37"/>
      <c r="L456" s="30"/>
      <c r="M456" s="30"/>
      <c r="N456" s="30"/>
    </row>
    <row r="457" spans="2:14">
      <c r="B457" s="30"/>
      <c r="C457" s="30"/>
      <c r="G457" s="30"/>
      <c r="H457" s="33"/>
      <c r="I457" s="37"/>
      <c r="J457" s="664"/>
      <c r="K457" s="37"/>
      <c r="L457" s="30"/>
      <c r="M457" s="30"/>
      <c r="N457" s="30"/>
    </row>
    <row r="458" spans="2:14">
      <c r="B458" s="30"/>
      <c r="C458" s="30"/>
      <c r="G458" s="30"/>
      <c r="H458" s="33"/>
      <c r="I458" s="37"/>
      <c r="J458" s="664"/>
      <c r="K458" s="37"/>
      <c r="L458" s="30"/>
      <c r="M458" s="30"/>
      <c r="N458" s="30"/>
    </row>
    <row r="459" spans="2:14">
      <c r="B459" s="30"/>
      <c r="C459" s="30"/>
      <c r="G459" s="30"/>
      <c r="H459" s="33"/>
      <c r="I459" s="37"/>
      <c r="J459" s="664"/>
      <c r="K459" s="37"/>
      <c r="L459" s="30"/>
      <c r="M459" s="30"/>
      <c r="N459" s="30"/>
    </row>
    <row r="460" spans="2:14">
      <c r="B460" s="30"/>
      <c r="C460" s="30"/>
      <c r="G460" s="30"/>
      <c r="H460" s="33"/>
      <c r="I460" s="37"/>
      <c r="J460" s="664"/>
      <c r="K460" s="37"/>
      <c r="L460" s="30"/>
      <c r="M460" s="30"/>
      <c r="N460" s="30"/>
    </row>
    <row r="461" spans="2:14">
      <c r="B461" s="30"/>
      <c r="C461" s="30"/>
      <c r="G461" s="30"/>
      <c r="H461" s="33"/>
      <c r="I461" s="37"/>
      <c r="J461" s="664"/>
      <c r="K461" s="37"/>
      <c r="L461" s="30"/>
      <c r="M461" s="30"/>
      <c r="N461" s="30"/>
    </row>
    <row r="462" spans="2:14">
      <c r="B462" s="30"/>
      <c r="C462" s="30"/>
      <c r="G462" s="30"/>
      <c r="H462" s="33"/>
      <c r="I462" s="37"/>
      <c r="J462" s="664"/>
      <c r="K462" s="37"/>
      <c r="L462" s="30"/>
      <c r="M462" s="30"/>
      <c r="N462" s="30"/>
    </row>
    <row r="463" spans="2:14">
      <c r="B463" s="30"/>
      <c r="C463" s="30"/>
      <c r="G463" s="30"/>
      <c r="H463" s="33"/>
      <c r="I463" s="37"/>
      <c r="J463" s="664"/>
      <c r="K463" s="37"/>
      <c r="L463" s="30"/>
      <c r="M463" s="30"/>
      <c r="N463" s="30"/>
    </row>
    <row r="464" spans="2:14">
      <c r="B464" s="30"/>
      <c r="C464" s="30"/>
      <c r="G464" s="30"/>
      <c r="H464" s="33"/>
      <c r="I464" s="37"/>
      <c r="J464" s="664"/>
      <c r="K464" s="37"/>
      <c r="L464" s="30"/>
      <c r="M464" s="30"/>
      <c r="N464" s="30"/>
    </row>
    <row r="465" spans="2:14">
      <c r="B465" s="30"/>
      <c r="C465" s="30"/>
      <c r="G465" s="30"/>
      <c r="H465" s="33"/>
      <c r="I465" s="37"/>
      <c r="J465" s="664"/>
      <c r="K465" s="37"/>
      <c r="L465" s="30"/>
      <c r="M465" s="30"/>
      <c r="N465" s="30"/>
    </row>
    <row r="466" spans="2:14">
      <c r="B466" s="30"/>
      <c r="C466" s="30"/>
      <c r="G466" s="30"/>
      <c r="H466" s="33"/>
      <c r="I466" s="37"/>
      <c r="J466" s="664"/>
      <c r="K466" s="37"/>
      <c r="L466" s="30"/>
      <c r="M466" s="30"/>
      <c r="N466" s="30"/>
    </row>
    <row r="467" spans="2:14">
      <c r="B467" s="30"/>
      <c r="C467" s="30"/>
      <c r="G467" s="30"/>
      <c r="H467" s="33"/>
      <c r="I467" s="37"/>
      <c r="J467" s="664"/>
      <c r="K467" s="37"/>
      <c r="L467" s="30"/>
      <c r="M467" s="30"/>
      <c r="N467" s="30"/>
    </row>
    <row r="468" spans="2:14">
      <c r="B468" s="30"/>
      <c r="C468" s="30"/>
      <c r="G468" s="30"/>
      <c r="H468" s="33"/>
      <c r="I468" s="37"/>
      <c r="J468" s="664"/>
      <c r="K468" s="37"/>
      <c r="L468" s="30"/>
      <c r="M468" s="30"/>
      <c r="N468" s="30"/>
    </row>
    <row r="469" spans="2:14">
      <c r="B469" s="30"/>
      <c r="C469" s="30"/>
      <c r="G469" s="30"/>
      <c r="H469" s="33"/>
      <c r="I469" s="37"/>
      <c r="J469" s="664"/>
      <c r="K469" s="37"/>
      <c r="L469" s="30"/>
      <c r="M469" s="30"/>
      <c r="N469" s="30"/>
    </row>
    <row r="470" spans="2:14">
      <c r="B470" s="30"/>
      <c r="C470" s="30"/>
      <c r="G470" s="30"/>
      <c r="H470" s="33"/>
      <c r="I470" s="37"/>
      <c r="J470" s="664"/>
      <c r="K470" s="37"/>
      <c r="L470" s="30"/>
      <c r="M470" s="30"/>
      <c r="N470" s="30"/>
    </row>
    <row r="471" spans="2:14">
      <c r="B471" s="30"/>
      <c r="C471" s="30"/>
      <c r="G471" s="30"/>
      <c r="H471" s="33"/>
      <c r="I471" s="37"/>
      <c r="J471" s="664"/>
      <c r="K471" s="37"/>
      <c r="L471" s="30"/>
      <c r="M471" s="30"/>
      <c r="N471" s="30"/>
    </row>
    <row r="472" spans="2:14">
      <c r="B472" s="30"/>
      <c r="C472" s="30"/>
      <c r="G472" s="30"/>
      <c r="H472" s="33"/>
      <c r="I472" s="37"/>
      <c r="J472" s="664"/>
      <c r="K472" s="37"/>
      <c r="L472" s="30"/>
      <c r="M472" s="30"/>
      <c r="N472" s="30"/>
    </row>
    <row r="473" spans="2:14">
      <c r="B473" s="30"/>
      <c r="C473" s="30"/>
      <c r="G473" s="30"/>
      <c r="H473" s="33"/>
      <c r="I473" s="37"/>
      <c r="J473" s="664"/>
      <c r="K473" s="37"/>
      <c r="L473" s="30"/>
      <c r="M473" s="30"/>
      <c r="N473" s="30"/>
    </row>
    <row r="474" spans="2:14">
      <c r="B474" s="30"/>
      <c r="C474" s="30"/>
      <c r="G474" s="30"/>
      <c r="H474" s="33"/>
      <c r="I474" s="37"/>
      <c r="J474" s="664"/>
      <c r="K474" s="37"/>
      <c r="L474" s="30"/>
      <c r="M474" s="30"/>
      <c r="N474" s="30"/>
    </row>
    <row r="475" spans="2:14">
      <c r="B475" s="30"/>
      <c r="C475" s="30"/>
      <c r="G475" s="30"/>
      <c r="H475" s="33"/>
      <c r="I475" s="37"/>
      <c r="J475" s="664"/>
      <c r="K475" s="37"/>
      <c r="L475" s="30"/>
      <c r="M475" s="30"/>
      <c r="N475" s="30"/>
    </row>
    <row r="476" spans="2:14">
      <c r="B476" s="30"/>
      <c r="C476" s="30"/>
      <c r="G476" s="30"/>
      <c r="H476" s="33"/>
      <c r="I476" s="37"/>
      <c r="J476" s="664"/>
      <c r="K476" s="37"/>
      <c r="L476" s="30"/>
      <c r="M476" s="30"/>
      <c r="N476" s="30"/>
    </row>
    <row r="477" spans="2:14">
      <c r="B477" s="30"/>
      <c r="C477" s="30"/>
      <c r="G477" s="30"/>
      <c r="H477" s="33"/>
      <c r="I477" s="37"/>
      <c r="J477" s="664"/>
      <c r="K477" s="37"/>
      <c r="L477" s="30"/>
      <c r="M477" s="30"/>
      <c r="N477" s="30"/>
    </row>
    <row r="478" spans="2:14">
      <c r="B478" s="30"/>
      <c r="C478" s="30"/>
      <c r="G478" s="30"/>
      <c r="H478" s="33"/>
      <c r="I478" s="37"/>
      <c r="J478" s="664"/>
      <c r="K478" s="37"/>
      <c r="L478" s="30"/>
      <c r="M478" s="30"/>
      <c r="N478" s="30"/>
    </row>
    <row r="479" spans="2:14">
      <c r="B479" s="30"/>
      <c r="C479" s="30"/>
      <c r="G479" s="30"/>
      <c r="H479" s="33"/>
      <c r="I479" s="37"/>
      <c r="J479" s="664"/>
      <c r="K479" s="37"/>
      <c r="L479" s="30"/>
      <c r="M479" s="30"/>
      <c r="N479" s="30"/>
    </row>
    <row r="480" spans="2:14">
      <c r="B480" s="30"/>
      <c r="C480" s="30"/>
      <c r="G480" s="30"/>
      <c r="H480" s="33"/>
      <c r="I480" s="37"/>
      <c r="J480" s="664"/>
      <c r="K480" s="37"/>
      <c r="L480" s="30"/>
      <c r="M480" s="30"/>
      <c r="N480" s="30"/>
    </row>
    <row r="481" spans="2:14">
      <c r="B481" s="30"/>
      <c r="C481" s="30"/>
      <c r="G481" s="30"/>
      <c r="H481" s="33"/>
      <c r="I481" s="37"/>
      <c r="J481" s="664"/>
      <c r="K481" s="37"/>
      <c r="L481" s="30"/>
      <c r="M481" s="30"/>
      <c r="N481" s="30"/>
    </row>
    <row r="482" spans="2:14">
      <c r="B482" s="30"/>
      <c r="C482" s="30"/>
      <c r="G482" s="30"/>
      <c r="H482" s="33"/>
      <c r="I482" s="37"/>
      <c r="J482" s="664"/>
      <c r="K482" s="37"/>
      <c r="L482" s="30"/>
      <c r="M482" s="30"/>
      <c r="N482" s="30"/>
    </row>
    <row r="483" spans="2:14">
      <c r="B483" s="30"/>
      <c r="C483" s="30"/>
      <c r="G483" s="30"/>
      <c r="H483" s="33"/>
      <c r="I483" s="37"/>
      <c r="J483" s="664"/>
      <c r="K483" s="37"/>
      <c r="L483" s="30"/>
      <c r="M483" s="30"/>
      <c r="N483" s="30"/>
    </row>
    <row r="484" spans="2:14">
      <c r="B484" s="30"/>
      <c r="C484" s="30"/>
      <c r="G484" s="30"/>
      <c r="H484" s="33"/>
      <c r="I484" s="37"/>
      <c r="J484" s="664"/>
      <c r="K484" s="37"/>
      <c r="L484" s="30"/>
      <c r="M484" s="30"/>
      <c r="N484" s="30"/>
    </row>
    <row r="485" spans="2:14">
      <c r="B485" s="30"/>
      <c r="C485" s="30"/>
      <c r="G485" s="30"/>
      <c r="H485" s="33"/>
      <c r="I485" s="37"/>
      <c r="J485" s="664"/>
      <c r="K485" s="37"/>
      <c r="L485" s="30"/>
      <c r="M485" s="30"/>
      <c r="N485" s="30"/>
    </row>
    <row r="486" spans="2:14">
      <c r="B486" s="30"/>
      <c r="C486" s="30"/>
      <c r="G486" s="30"/>
      <c r="H486" s="33"/>
      <c r="I486" s="37"/>
      <c r="J486" s="664"/>
      <c r="K486" s="37"/>
      <c r="L486" s="30"/>
      <c r="M486" s="30"/>
      <c r="N486" s="30"/>
    </row>
    <row r="487" spans="2:14">
      <c r="B487" s="30"/>
      <c r="C487" s="30"/>
      <c r="G487" s="30"/>
      <c r="H487" s="33"/>
      <c r="I487" s="37"/>
      <c r="J487" s="664"/>
      <c r="K487" s="37"/>
      <c r="L487" s="30"/>
      <c r="M487" s="30"/>
      <c r="N487" s="30"/>
    </row>
    <row r="488" spans="2:14">
      <c r="B488" s="30"/>
      <c r="C488" s="30"/>
      <c r="G488" s="30"/>
      <c r="H488" s="33"/>
      <c r="I488" s="37"/>
      <c r="J488" s="664"/>
      <c r="K488" s="37"/>
      <c r="L488" s="30"/>
      <c r="M488" s="30"/>
      <c r="N488" s="30"/>
    </row>
    <row r="489" spans="2:14">
      <c r="B489" s="30"/>
      <c r="C489" s="30"/>
      <c r="G489" s="30"/>
      <c r="H489" s="33"/>
      <c r="I489" s="37"/>
      <c r="J489" s="664"/>
      <c r="K489" s="37"/>
      <c r="L489" s="30"/>
      <c r="M489" s="30"/>
      <c r="N489" s="30"/>
    </row>
    <row r="490" spans="2:14">
      <c r="B490" s="30"/>
      <c r="C490" s="30"/>
      <c r="G490" s="30"/>
      <c r="H490" s="33"/>
      <c r="I490" s="37"/>
      <c r="J490" s="664"/>
      <c r="K490" s="37"/>
      <c r="L490" s="30"/>
      <c r="M490" s="30"/>
      <c r="N490" s="30"/>
    </row>
    <row r="491" spans="2:14">
      <c r="B491" s="30"/>
      <c r="C491" s="30"/>
      <c r="G491" s="30"/>
      <c r="H491" s="33"/>
      <c r="I491" s="37"/>
      <c r="J491" s="664"/>
      <c r="K491" s="37"/>
      <c r="L491" s="30"/>
      <c r="M491" s="30"/>
      <c r="N491" s="30"/>
    </row>
    <row r="492" spans="2:14">
      <c r="B492" s="30"/>
      <c r="C492" s="30"/>
      <c r="G492" s="30"/>
      <c r="H492" s="33"/>
      <c r="I492" s="37"/>
      <c r="J492" s="664"/>
      <c r="K492" s="37"/>
      <c r="L492" s="30"/>
      <c r="M492" s="30"/>
      <c r="N492" s="30"/>
    </row>
    <row r="493" spans="2:14">
      <c r="B493" s="30"/>
      <c r="C493" s="30"/>
      <c r="G493" s="30"/>
      <c r="H493" s="33"/>
      <c r="I493" s="37"/>
      <c r="J493" s="664"/>
      <c r="K493" s="37"/>
      <c r="L493" s="30"/>
      <c r="M493" s="30"/>
      <c r="N493" s="30"/>
    </row>
    <row r="494" spans="2:14">
      <c r="B494" s="30"/>
      <c r="C494" s="30"/>
      <c r="G494" s="30"/>
      <c r="H494" s="33"/>
      <c r="I494" s="37"/>
      <c r="J494" s="664"/>
      <c r="K494" s="37"/>
      <c r="L494" s="30"/>
      <c r="M494" s="30"/>
      <c r="N494" s="30"/>
    </row>
    <row r="495" spans="2:14">
      <c r="B495" s="30"/>
      <c r="C495" s="30"/>
      <c r="G495" s="30"/>
      <c r="H495" s="33"/>
      <c r="I495" s="37"/>
      <c r="J495" s="664"/>
      <c r="K495" s="37"/>
      <c r="L495" s="30"/>
      <c r="M495" s="30"/>
      <c r="N495" s="30"/>
    </row>
    <row r="496" spans="2:14">
      <c r="B496" s="30"/>
      <c r="C496" s="30"/>
      <c r="G496" s="30"/>
      <c r="H496" s="33"/>
      <c r="I496" s="37"/>
      <c r="J496" s="664"/>
      <c r="K496" s="37"/>
      <c r="L496" s="30"/>
      <c r="M496" s="30"/>
      <c r="N496" s="30"/>
    </row>
    <row r="497" spans="2:14">
      <c r="B497" s="30"/>
      <c r="C497" s="30"/>
      <c r="G497" s="30"/>
      <c r="H497" s="33"/>
      <c r="I497" s="37"/>
      <c r="J497" s="664"/>
      <c r="K497" s="37"/>
      <c r="L497" s="30"/>
      <c r="M497" s="30"/>
      <c r="N497" s="30"/>
    </row>
    <row r="498" spans="2:14">
      <c r="B498" s="30"/>
      <c r="C498" s="30"/>
      <c r="G498" s="30"/>
      <c r="H498" s="33"/>
      <c r="I498" s="37"/>
      <c r="J498" s="664"/>
      <c r="K498" s="37"/>
      <c r="L498" s="30"/>
      <c r="M498" s="30"/>
      <c r="N498" s="30"/>
    </row>
    <row r="499" spans="2:14">
      <c r="B499" s="30"/>
      <c r="C499" s="30"/>
      <c r="G499" s="30"/>
      <c r="H499" s="33"/>
      <c r="I499" s="37"/>
      <c r="J499" s="664"/>
      <c r="K499" s="37"/>
      <c r="L499" s="30"/>
      <c r="M499" s="30"/>
      <c r="N499" s="30"/>
    </row>
    <row r="500" spans="2:14">
      <c r="B500" s="30"/>
      <c r="C500" s="30"/>
      <c r="G500" s="30"/>
      <c r="H500" s="33"/>
      <c r="I500" s="37"/>
      <c r="J500" s="664"/>
      <c r="K500" s="37"/>
      <c r="L500" s="30"/>
      <c r="M500" s="30"/>
      <c r="N500" s="30"/>
    </row>
    <row r="501" spans="2:14">
      <c r="B501" s="30"/>
      <c r="C501" s="30"/>
      <c r="G501" s="30"/>
      <c r="H501" s="33"/>
      <c r="I501" s="37"/>
      <c r="J501" s="664"/>
      <c r="K501" s="37"/>
      <c r="L501" s="30"/>
      <c r="M501" s="30"/>
      <c r="N501" s="30"/>
    </row>
    <row r="502" spans="2:14">
      <c r="B502" s="30"/>
      <c r="C502" s="30"/>
      <c r="G502" s="30"/>
      <c r="H502" s="33"/>
      <c r="I502" s="37"/>
      <c r="J502" s="664"/>
      <c r="K502" s="37"/>
      <c r="L502" s="30"/>
      <c r="M502" s="30"/>
      <c r="N502" s="30"/>
    </row>
    <row r="503" spans="2:14">
      <c r="B503" s="30"/>
      <c r="C503" s="30"/>
      <c r="G503" s="30"/>
      <c r="H503" s="33"/>
      <c r="I503" s="37"/>
      <c r="J503" s="664"/>
      <c r="K503" s="37"/>
      <c r="L503" s="30"/>
      <c r="M503" s="30"/>
      <c r="N503" s="30"/>
    </row>
    <row r="504" spans="2:14">
      <c r="B504" s="30"/>
      <c r="C504" s="30"/>
      <c r="G504" s="30"/>
      <c r="H504" s="33"/>
      <c r="I504" s="37"/>
      <c r="J504" s="664"/>
      <c r="K504" s="37"/>
      <c r="L504" s="30"/>
      <c r="M504" s="30"/>
      <c r="N504" s="30"/>
    </row>
    <row r="505" spans="2:14">
      <c r="B505" s="30"/>
      <c r="C505" s="30"/>
      <c r="G505" s="30"/>
      <c r="H505" s="33"/>
      <c r="I505" s="37"/>
      <c r="J505" s="664"/>
      <c r="K505" s="37"/>
      <c r="L505" s="30"/>
      <c r="M505" s="30"/>
      <c r="N505" s="30"/>
    </row>
    <row r="506" spans="2:14">
      <c r="B506" s="30"/>
      <c r="C506" s="30"/>
      <c r="G506" s="30"/>
      <c r="H506" s="33"/>
      <c r="I506" s="37"/>
      <c r="J506" s="664"/>
      <c r="K506" s="37"/>
      <c r="L506" s="30"/>
      <c r="M506" s="30"/>
      <c r="N506" s="30"/>
    </row>
    <row r="507" spans="2:14">
      <c r="B507" s="30"/>
      <c r="C507" s="30"/>
      <c r="G507" s="30"/>
      <c r="H507" s="33"/>
      <c r="I507" s="37"/>
      <c r="J507" s="664"/>
      <c r="K507" s="37"/>
      <c r="L507" s="30"/>
      <c r="M507" s="30"/>
      <c r="N507" s="30"/>
    </row>
    <row r="508" spans="2:14">
      <c r="B508" s="30"/>
      <c r="C508" s="30"/>
      <c r="G508" s="30"/>
      <c r="H508" s="33"/>
      <c r="I508" s="37"/>
      <c r="J508" s="664"/>
      <c r="K508" s="37"/>
      <c r="L508" s="30"/>
      <c r="M508" s="30"/>
      <c r="N508" s="30"/>
    </row>
    <row r="509" spans="2:14">
      <c r="B509" s="30"/>
      <c r="C509" s="30"/>
      <c r="G509" s="30"/>
      <c r="H509" s="33"/>
      <c r="I509" s="37"/>
      <c r="J509" s="664"/>
      <c r="K509" s="37"/>
      <c r="L509" s="30"/>
      <c r="M509" s="30"/>
      <c r="N509" s="30"/>
    </row>
    <row r="510" spans="2:14">
      <c r="B510" s="30"/>
      <c r="C510" s="30"/>
      <c r="G510" s="30"/>
      <c r="H510" s="33"/>
      <c r="I510" s="37"/>
      <c r="J510" s="664"/>
      <c r="K510" s="37"/>
      <c r="L510" s="30"/>
      <c r="M510" s="30"/>
      <c r="N510" s="30"/>
    </row>
    <row r="511" spans="2:14">
      <c r="B511" s="30"/>
      <c r="C511" s="30"/>
      <c r="G511" s="30"/>
      <c r="H511" s="33"/>
      <c r="I511" s="37"/>
      <c r="J511" s="664"/>
      <c r="K511" s="37"/>
      <c r="L511" s="30"/>
      <c r="M511" s="30"/>
      <c r="N511" s="30"/>
    </row>
    <row r="512" spans="2:14">
      <c r="B512" s="30"/>
      <c r="C512" s="30"/>
      <c r="G512" s="30"/>
      <c r="H512" s="33"/>
      <c r="I512" s="37"/>
      <c r="J512" s="664"/>
      <c r="K512" s="37"/>
      <c r="L512" s="30"/>
      <c r="M512" s="30"/>
      <c r="N512" s="30"/>
    </row>
    <row r="513" spans="2:14">
      <c r="B513" s="30"/>
      <c r="C513" s="30"/>
      <c r="G513" s="30"/>
      <c r="H513" s="33"/>
      <c r="I513" s="37"/>
      <c r="J513" s="664"/>
      <c r="K513" s="37"/>
      <c r="L513" s="30"/>
      <c r="M513" s="30"/>
      <c r="N513" s="30"/>
    </row>
    <row r="514" spans="2:14">
      <c r="B514" s="30"/>
      <c r="C514" s="30"/>
      <c r="G514" s="30"/>
      <c r="H514" s="33"/>
      <c r="I514" s="37"/>
      <c r="J514" s="664"/>
      <c r="K514" s="37"/>
      <c r="L514" s="30"/>
      <c r="M514" s="30"/>
      <c r="N514" s="30"/>
    </row>
    <row r="515" spans="2:14">
      <c r="B515" s="30"/>
      <c r="C515" s="30"/>
      <c r="G515" s="30"/>
      <c r="H515" s="33"/>
      <c r="I515" s="37"/>
      <c r="J515" s="664"/>
      <c r="K515" s="37"/>
      <c r="L515" s="30"/>
      <c r="M515" s="30"/>
      <c r="N515" s="30"/>
    </row>
    <row r="516" spans="2:14">
      <c r="B516" s="30"/>
      <c r="C516" s="30"/>
      <c r="G516" s="30"/>
      <c r="H516" s="33"/>
      <c r="I516" s="37"/>
      <c r="J516" s="664"/>
      <c r="K516" s="37"/>
      <c r="L516" s="30"/>
      <c r="M516" s="30"/>
      <c r="N516" s="30"/>
    </row>
    <row r="517" spans="2:14">
      <c r="B517" s="30"/>
      <c r="C517" s="30"/>
      <c r="G517" s="30"/>
      <c r="H517" s="33"/>
      <c r="I517" s="37"/>
      <c r="J517" s="664"/>
      <c r="K517" s="37"/>
      <c r="L517" s="30"/>
      <c r="M517" s="30"/>
      <c r="N517" s="30"/>
    </row>
    <row r="518" spans="2:14">
      <c r="B518" s="30"/>
      <c r="C518" s="30"/>
      <c r="G518" s="30"/>
      <c r="H518" s="33"/>
      <c r="I518" s="37"/>
      <c r="J518" s="664"/>
      <c r="K518" s="37"/>
      <c r="L518" s="30"/>
      <c r="M518" s="30"/>
      <c r="N518" s="30"/>
    </row>
    <row r="519" spans="2:14">
      <c r="B519" s="30"/>
      <c r="C519" s="30"/>
      <c r="G519" s="30"/>
      <c r="H519" s="33"/>
      <c r="I519" s="37"/>
      <c r="J519" s="664"/>
      <c r="K519" s="37"/>
      <c r="L519" s="30"/>
      <c r="M519" s="30"/>
      <c r="N519" s="30"/>
    </row>
    <row r="520" spans="2:14">
      <c r="B520" s="30"/>
      <c r="C520" s="30"/>
      <c r="G520" s="30"/>
      <c r="H520" s="33"/>
      <c r="I520" s="37"/>
      <c r="J520" s="664"/>
      <c r="K520" s="37"/>
      <c r="L520" s="30"/>
      <c r="M520" s="30"/>
      <c r="N520" s="30"/>
    </row>
    <row r="521" spans="2:14">
      <c r="B521" s="30"/>
      <c r="C521" s="30"/>
      <c r="G521" s="30"/>
      <c r="H521" s="33"/>
      <c r="I521" s="37"/>
      <c r="J521" s="664"/>
      <c r="K521" s="37"/>
      <c r="L521" s="30"/>
      <c r="M521" s="30"/>
      <c r="N521" s="30"/>
    </row>
    <row r="522" spans="2:14">
      <c r="B522" s="30"/>
      <c r="C522" s="30"/>
      <c r="G522" s="30"/>
      <c r="H522" s="33"/>
      <c r="I522" s="37"/>
      <c r="J522" s="664"/>
      <c r="K522" s="37"/>
      <c r="L522" s="30"/>
      <c r="M522" s="30"/>
      <c r="N522" s="30"/>
    </row>
    <row r="523" spans="2:14">
      <c r="B523" s="30"/>
      <c r="C523" s="30"/>
      <c r="G523" s="30"/>
      <c r="H523" s="33"/>
      <c r="I523" s="37"/>
      <c r="J523" s="664"/>
      <c r="K523" s="37"/>
      <c r="L523" s="30"/>
      <c r="M523" s="30"/>
      <c r="N523" s="30"/>
    </row>
    <row r="524" spans="2:14">
      <c r="B524" s="30"/>
      <c r="C524" s="30"/>
      <c r="G524" s="30"/>
      <c r="H524" s="33"/>
      <c r="I524" s="37"/>
      <c r="J524" s="664"/>
      <c r="K524" s="37"/>
      <c r="L524" s="30"/>
      <c r="M524" s="30"/>
      <c r="N524" s="30"/>
    </row>
    <row r="525" spans="2:14">
      <c r="B525" s="30"/>
      <c r="C525" s="30"/>
      <c r="G525" s="30"/>
      <c r="H525" s="33"/>
      <c r="I525" s="37"/>
      <c r="J525" s="664"/>
      <c r="K525" s="37"/>
      <c r="L525" s="30"/>
      <c r="M525" s="30"/>
      <c r="N525" s="30"/>
    </row>
    <row r="526" spans="2:14">
      <c r="B526" s="30"/>
      <c r="C526" s="30"/>
      <c r="G526" s="30"/>
      <c r="H526" s="33"/>
      <c r="I526" s="37"/>
      <c r="J526" s="664"/>
      <c r="K526" s="37"/>
      <c r="L526" s="30"/>
      <c r="M526" s="30"/>
      <c r="N526" s="30"/>
    </row>
    <row r="527" spans="2:14">
      <c r="B527" s="30"/>
      <c r="C527" s="30"/>
      <c r="G527" s="30"/>
      <c r="H527" s="33"/>
      <c r="I527" s="37"/>
      <c r="J527" s="664"/>
      <c r="K527" s="37"/>
      <c r="L527" s="30"/>
      <c r="M527" s="30"/>
      <c r="N527" s="30"/>
    </row>
    <row r="528" spans="2:14">
      <c r="B528" s="30"/>
      <c r="C528" s="30"/>
      <c r="G528" s="30"/>
      <c r="H528" s="33"/>
      <c r="I528" s="37"/>
      <c r="J528" s="664"/>
      <c r="K528" s="37"/>
      <c r="L528" s="30"/>
      <c r="M528" s="30"/>
      <c r="N528" s="30"/>
    </row>
    <row r="529" spans="2:14">
      <c r="B529" s="30"/>
      <c r="C529" s="30"/>
      <c r="G529" s="30"/>
      <c r="H529" s="33"/>
      <c r="I529" s="37"/>
      <c r="J529" s="664"/>
      <c r="K529" s="37"/>
      <c r="L529" s="30"/>
      <c r="M529" s="30"/>
      <c r="N529" s="30"/>
    </row>
    <row r="530" spans="2:14">
      <c r="B530" s="30"/>
      <c r="C530" s="30"/>
      <c r="G530" s="30"/>
      <c r="H530" s="33"/>
      <c r="I530" s="37"/>
      <c r="J530" s="664"/>
      <c r="K530" s="37"/>
      <c r="L530" s="30"/>
      <c r="M530" s="30"/>
      <c r="N530" s="30"/>
    </row>
    <row r="531" spans="2:14">
      <c r="B531" s="30"/>
      <c r="C531" s="30"/>
      <c r="G531" s="30"/>
      <c r="H531" s="33"/>
      <c r="I531" s="37"/>
      <c r="J531" s="664"/>
      <c r="K531" s="37"/>
      <c r="L531" s="30"/>
      <c r="M531" s="30"/>
      <c r="N531" s="30"/>
    </row>
    <row r="532" spans="2:14">
      <c r="B532" s="30"/>
      <c r="C532" s="30"/>
      <c r="G532" s="30"/>
      <c r="H532" s="33"/>
      <c r="I532" s="37"/>
      <c r="J532" s="664"/>
      <c r="K532" s="37"/>
      <c r="L532" s="30"/>
      <c r="M532" s="30"/>
      <c r="N532" s="30"/>
    </row>
    <row r="533" spans="2:14">
      <c r="B533" s="30"/>
      <c r="C533" s="30"/>
      <c r="G533" s="30"/>
      <c r="H533" s="33"/>
      <c r="I533" s="37"/>
      <c r="J533" s="664"/>
      <c r="K533" s="37"/>
      <c r="L533" s="30"/>
      <c r="M533" s="30"/>
      <c r="N533" s="30"/>
    </row>
    <row r="534" spans="2:14">
      <c r="B534" s="30"/>
      <c r="C534" s="30"/>
      <c r="G534" s="30"/>
      <c r="H534" s="33"/>
      <c r="I534" s="37"/>
      <c r="J534" s="664"/>
      <c r="K534" s="37"/>
      <c r="L534" s="30"/>
      <c r="M534" s="30"/>
      <c r="N534" s="30"/>
    </row>
    <row r="535" spans="2:14">
      <c r="B535" s="30"/>
      <c r="C535" s="30"/>
      <c r="G535" s="30"/>
      <c r="H535" s="33"/>
      <c r="I535" s="37"/>
      <c r="J535" s="664"/>
      <c r="K535" s="37"/>
      <c r="L535" s="30"/>
      <c r="M535" s="30"/>
      <c r="N535" s="30"/>
    </row>
    <row r="536" spans="2:14">
      <c r="B536" s="30"/>
      <c r="C536" s="30"/>
      <c r="G536" s="30"/>
      <c r="H536" s="33"/>
      <c r="I536" s="37"/>
      <c r="J536" s="664"/>
      <c r="K536" s="37"/>
      <c r="L536" s="30"/>
      <c r="M536" s="30"/>
      <c r="N536" s="30"/>
    </row>
    <row r="537" spans="2:14">
      <c r="B537" s="30"/>
      <c r="C537" s="30"/>
      <c r="G537" s="30"/>
      <c r="H537" s="33"/>
      <c r="I537" s="37"/>
      <c r="J537" s="664"/>
      <c r="K537" s="37"/>
      <c r="L537" s="30"/>
      <c r="M537" s="30"/>
      <c r="N537" s="30"/>
    </row>
    <row r="538" spans="2:14">
      <c r="B538" s="30"/>
      <c r="C538" s="30"/>
      <c r="G538" s="30"/>
      <c r="H538" s="33"/>
      <c r="I538" s="37"/>
      <c r="J538" s="664"/>
      <c r="K538" s="37"/>
      <c r="L538" s="30"/>
      <c r="M538" s="30"/>
      <c r="N538" s="30"/>
    </row>
    <row r="539" spans="2:14">
      <c r="B539" s="30"/>
      <c r="C539" s="30"/>
      <c r="G539" s="30"/>
      <c r="H539" s="33"/>
      <c r="I539" s="37"/>
      <c r="J539" s="664"/>
      <c r="K539" s="37"/>
      <c r="L539" s="30"/>
      <c r="M539" s="30"/>
      <c r="N539" s="30"/>
    </row>
    <row r="540" spans="2:14">
      <c r="B540" s="30"/>
      <c r="C540" s="30"/>
      <c r="G540" s="30"/>
      <c r="H540" s="33"/>
      <c r="I540" s="37"/>
      <c r="J540" s="664"/>
      <c r="K540" s="37"/>
      <c r="L540" s="30"/>
      <c r="M540" s="30"/>
      <c r="N540" s="30"/>
    </row>
    <row r="541" spans="2:14">
      <c r="B541" s="30"/>
      <c r="C541" s="30"/>
      <c r="G541" s="30"/>
      <c r="H541" s="33"/>
      <c r="I541" s="37"/>
      <c r="J541" s="664"/>
      <c r="K541" s="37"/>
      <c r="L541" s="30"/>
      <c r="M541" s="30"/>
      <c r="N541" s="30"/>
    </row>
    <row r="542" spans="2:14">
      <c r="B542" s="30"/>
      <c r="C542" s="30"/>
      <c r="G542" s="30"/>
      <c r="H542" s="33"/>
      <c r="I542" s="37"/>
      <c r="J542" s="664"/>
      <c r="K542" s="37"/>
      <c r="L542" s="30"/>
      <c r="M542" s="30"/>
      <c r="N542" s="30"/>
    </row>
    <row r="543" spans="2:14">
      <c r="B543" s="30"/>
      <c r="C543" s="30"/>
      <c r="G543" s="30"/>
      <c r="H543" s="33"/>
      <c r="I543" s="37"/>
      <c r="J543" s="664"/>
      <c r="K543" s="37"/>
      <c r="L543" s="30"/>
      <c r="M543" s="30"/>
      <c r="N543" s="30"/>
    </row>
    <row r="544" spans="2:14">
      <c r="B544" s="30"/>
      <c r="C544" s="30"/>
      <c r="G544" s="30"/>
      <c r="H544" s="33"/>
      <c r="I544" s="37"/>
      <c r="J544" s="664"/>
      <c r="K544" s="37"/>
      <c r="L544" s="30"/>
      <c r="M544" s="30"/>
      <c r="N544" s="30"/>
    </row>
    <row r="545" spans="2:14">
      <c r="B545" s="30"/>
      <c r="C545" s="30"/>
      <c r="G545" s="30"/>
      <c r="H545" s="33"/>
      <c r="I545" s="37"/>
      <c r="J545" s="664"/>
      <c r="K545" s="37"/>
      <c r="L545" s="30"/>
      <c r="M545" s="30"/>
      <c r="N545" s="30"/>
    </row>
    <row r="546" spans="2:14">
      <c r="B546" s="30"/>
      <c r="C546" s="30"/>
      <c r="G546" s="30"/>
      <c r="H546" s="33"/>
      <c r="I546" s="37"/>
      <c r="J546" s="664"/>
      <c r="K546" s="37"/>
      <c r="L546" s="30"/>
      <c r="M546" s="30"/>
      <c r="N546" s="30"/>
    </row>
    <row r="547" spans="2:14">
      <c r="B547" s="30"/>
      <c r="C547" s="30"/>
      <c r="G547" s="30"/>
      <c r="H547" s="33"/>
      <c r="I547" s="37"/>
      <c r="J547" s="664"/>
      <c r="K547" s="37"/>
      <c r="L547" s="30"/>
      <c r="M547" s="30"/>
      <c r="N547" s="30"/>
    </row>
    <row r="548" spans="2:14">
      <c r="B548" s="30"/>
      <c r="C548" s="30"/>
      <c r="G548" s="30"/>
      <c r="H548" s="33"/>
      <c r="I548" s="37"/>
      <c r="J548" s="664"/>
      <c r="K548" s="37"/>
      <c r="L548" s="30"/>
      <c r="M548" s="30"/>
      <c r="N548" s="30"/>
    </row>
    <row r="549" spans="2:14">
      <c r="B549" s="30"/>
      <c r="C549" s="30"/>
      <c r="G549" s="30"/>
      <c r="H549" s="33"/>
      <c r="I549" s="37"/>
      <c r="J549" s="664"/>
      <c r="K549" s="37"/>
      <c r="L549" s="30"/>
      <c r="M549" s="30"/>
      <c r="N549" s="30"/>
    </row>
    <row r="550" spans="2:14">
      <c r="B550" s="30"/>
      <c r="C550" s="30"/>
      <c r="G550" s="30"/>
      <c r="H550" s="33"/>
      <c r="I550" s="37"/>
      <c r="J550" s="664"/>
      <c r="K550" s="37"/>
      <c r="L550" s="30"/>
      <c r="M550" s="30"/>
      <c r="N550" s="30"/>
    </row>
    <row r="551" spans="2:14">
      <c r="B551" s="30"/>
      <c r="C551" s="30"/>
      <c r="G551" s="30"/>
      <c r="H551" s="33"/>
      <c r="I551" s="37"/>
      <c r="J551" s="664"/>
      <c r="K551" s="37"/>
      <c r="L551" s="30"/>
      <c r="M551" s="30"/>
      <c r="N551" s="30"/>
    </row>
    <row r="552" spans="2:14">
      <c r="B552" s="30"/>
      <c r="C552" s="30"/>
      <c r="G552" s="30"/>
      <c r="H552" s="33"/>
      <c r="I552" s="37"/>
      <c r="J552" s="664"/>
      <c r="K552" s="37"/>
      <c r="L552" s="30"/>
      <c r="M552" s="30"/>
      <c r="N552" s="30"/>
    </row>
    <row r="553" spans="2:14">
      <c r="B553" s="30"/>
      <c r="C553" s="30"/>
      <c r="G553" s="30"/>
      <c r="H553" s="33"/>
      <c r="I553" s="37"/>
      <c r="J553" s="664"/>
      <c r="K553" s="37"/>
      <c r="L553" s="30"/>
      <c r="M553" s="30"/>
      <c r="N553" s="30"/>
    </row>
    <row r="554" spans="2:14">
      <c r="B554" s="30"/>
      <c r="C554" s="30"/>
      <c r="G554" s="30"/>
      <c r="H554" s="33"/>
      <c r="I554" s="37"/>
      <c r="J554" s="664"/>
      <c r="K554" s="37"/>
      <c r="L554" s="30"/>
      <c r="M554" s="30"/>
      <c r="N554" s="30"/>
    </row>
    <row r="555" spans="2:14">
      <c r="B555" s="30"/>
      <c r="C555" s="30"/>
      <c r="G555" s="30"/>
      <c r="H555" s="33"/>
      <c r="I555" s="37"/>
      <c r="J555" s="664"/>
      <c r="K555" s="37"/>
      <c r="L555" s="30"/>
      <c r="M555" s="30"/>
      <c r="N555" s="30"/>
    </row>
    <row r="556" spans="2:14">
      <c r="B556" s="30"/>
      <c r="C556" s="30"/>
      <c r="G556" s="30"/>
      <c r="H556" s="33"/>
      <c r="I556" s="37"/>
      <c r="J556" s="664"/>
      <c r="K556" s="37"/>
      <c r="L556" s="30"/>
      <c r="M556" s="30"/>
      <c r="N556" s="30"/>
    </row>
    <row r="557" spans="2:14">
      <c r="B557" s="30"/>
      <c r="C557" s="30"/>
      <c r="G557" s="30"/>
      <c r="H557" s="33"/>
      <c r="I557" s="37"/>
      <c r="J557" s="664"/>
      <c r="K557" s="37"/>
      <c r="L557" s="30"/>
      <c r="M557" s="30"/>
      <c r="N557" s="30"/>
    </row>
    <row r="558" spans="2:14">
      <c r="B558" s="30"/>
      <c r="C558" s="30"/>
      <c r="G558" s="30"/>
      <c r="H558" s="33"/>
      <c r="I558" s="37"/>
      <c r="J558" s="664"/>
      <c r="K558" s="37"/>
      <c r="L558" s="30"/>
      <c r="M558" s="30"/>
      <c r="N558" s="30"/>
    </row>
    <row r="559" spans="2:14">
      <c r="B559" s="30"/>
      <c r="C559" s="30"/>
      <c r="G559" s="30"/>
      <c r="H559" s="33"/>
      <c r="I559" s="37"/>
      <c r="J559" s="664"/>
      <c r="K559" s="37"/>
      <c r="L559" s="30"/>
      <c r="M559" s="30"/>
      <c r="N559" s="30"/>
    </row>
    <row r="560" spans="2:14">
      <c r="B560" s="30"/>
      <c r="C560" s="30"/>
      <c r="G560" s="30"/>
      <c r="H560" s="33"/>
      <c r="I560" s="37"/>
      <c r="J560" s="664"/>
      <c r="K560" s="37"/>
      <c r="L560" s="30"/>
      <c r="M560" s="30"/>
      <c r="N560" s="30"/>
    </row>
    <row r="561" spans="2:14">
      <c r="B561" s="30"/>
      <c r="C561" s="30"/>
      <c r="G561" s="30"/>
      <c r="H561" s="33"/>
      <c r="I561" s="37"/>
      <c r="J561" s="664"/>
      <c r="K561" s="37"/>
      <c r="L561" s="30"/>
      <c r="M561" s="30"/>
      <c r="N561" s="30"/>
    </row>
    <row r="562" spans="2:14">
      <c r="B562" s="30"/>
      <c r="C562" s="30"/>
      <c r="G562" s="30"/>
      <c r="H562" s="33"/>
      <c r="I562" s="37"/>
      <c r="J562" s="664"/>
      <c r="K562" s="37"/>
      <c r="L562" s="30"/>
      <c r="M562" s="30"/>
      <c r="N562" s="30"/>
    </row>
    <row r="563" spans="2:14">
      <c r="B563" s="30"/>
      <c r="C563" s="30"/>
      <c r="G563" s="30"/>
      <c r="H563" s="33"/>
      <c r="I563" s="37"/>
      <c r="J563" s="664"/>
      <c r="K563" s="37"/>
      <c r="L563" s="30"/>
      <c r="M563" s="30"/>
      <c r="N563" s="30"/>
    </row>
    <row r="564" spans="2:14">
      <c r="B564" s="30"/>
      <c r="C564" s="30"/>
      <c r="G564" s="30"/>
      <c r="H564" s="33"/>
      <c r="I564" s="37"/>
      <c r="J564" s="664"/>
      <c r="K564" s="37"/>
      <c r="L564" s="30"/>
      <c r="M564" s="30"/>
      <c r="N564" s="30"/>
    </row>
    <row r="565" spans="2:14">
      <c r="B565" s="30"/>
      <c r="C565" s="30"/>
      <c r="G565" s="30"/>
      <c r="H565" s="33"/>
      <c r="I565" s="37"/>
      <c r="J565" s="664"/>
      <c r="K565" s="37"/>
      <c r="L565" s="30"/>
      <c r="M565" s="30"/>
      <c r="N565" s="30"/>
    </row>
    <row r="566" spans="2:14">
      <c r="B566" s="30"/>
      <c r="C566" s="30"/>
      <c r="G566" s="30"/>
      <c r="H566" s="33"/>
      <c r="I566" s="37"/>
      <c r="J566" s="664"/>
      <c r="K566" s="37"/>
      <c r="L566" s="30"/>
      <c r="M566" s="30"/>
      <c r="N566" s="30"/>
    </row>
    <row r="567" spans="2:14">
      <c r="B567" s="30"/>
      <c r="C567" s="30"/>
      <c r="G567" s="30"/>
      <c r="H567" s="33"/>
      <c r="I567" s="37"/>
      <c r="J567" s="664"/>
      <c r="K567" s="37"/>
      <c r="L567" s="30"/>
      <c r="M567" s="30"/>
      <c r="N567" s="30"/>
    </row>
    <row r="568" spans="2:14">
      <c r="B568" s="30"/>
      <c r="C568" s="30"/>
      <c r="G568" s="30"/>
      <c r="H568" s="33"/>
      <c r="I568" s="37"/>
      <c r="J568" s="664"/>
      <c r="K568" s="37"/>
      <c r="L568" s="30"/>
      <c r="M568" s="30"/>
      <c r="N568" s="30"/>
    </row>
    <row r="569" spans="2:14">
      <c r="B569" s="30"/>
      <c r="C569" s="30"/>
      <c r="G569" s="30"/>
      <c r="H569" s="33"/>
      <c r="I569" s="37"/>
      <c r="J569" s="664"/>
      <c r="K569" s="37"/>
      <c r="L569" s="30"/>
      <c r="M569" s="30"/>
      <c r="N569" s="30"/>
    </row>
    <row r="570" spans="2:14">
      <c r="B570" s="30"/>
      <c r="C570" s="30"/>
      <c r="G570" s="30"/>
      <c r="H570" s="33"/>
      <c r="I570" s="37"/>
      <c r="J570" s="664"/>
      <c r="K570" s="37"/>
      <c r="L570" s="30"/>
      <c r="M570" s="30"/>
      <c r="N570" s="30"/>
    </row>
    <row r="571" spans="2:14">
      <c r="B571" s="30"/>
      <c r="C571" s="30"/>
      <c r="G571" s="30"/>
      <c r="H571" s="33"/>
      <c r="I571" s="37"/>
      <c r="J571" s="664"/>
      <c r="K571" s="37"/>
      <c r="L571" s="30"/>
      <c r="M571" s="30"/>
      <c r="N571" s="30"/>
    </row>
    <row r="572" spans="2:14">
      <c r="B572" s="30"/>
      <c r="C572" s="30"/>
      <c r="G572" s="30"/>
      <c r="H572" s="33"/>
      <c r="I572" s="37"/>
      <c r="J572" s="664"/>
      <c r="K572" s="37"/>
      <c r="L572" s="30"/>
      <c r="M572" s="30"/>
      <c r="N572" s="30"/>
    </row>
    <row r="573" spans="2:14">
      <c r="B573" s="30"/>
      <c r="C573" s="30"/>
      <c r="G573" s="30"/>
      <c r="H573" s="33"/>
      <c r="I573" s="37"/>
      <c r="J573" s="664"/>
      <c r="K573" s="37"/>
      <c r="L573" s="30"/>
      <c r="M573" s="30"/>
      <c r="N573" s="30"/>
    </row>
    <row r="574" spans="2:14">
      <c r="B574" s="30"/>
      <c r="C574" s="30"/>
      <c r="G574" s="30"/>
      <c r="H574" s="33"/>
      <c r="I574" s="37"/>
      <c r="J574" s="664"/>
      <c r="K574" s="37"/>
      <c r="L574" s="30"/>
      <c r="M574" s="30"/>
      <c r="N574" s="30"/>
    </row>
    <row r="575" spans="2:14">
      <c r="B575" s="30"/>
      <c r="C575" s="30"/>
      <c r="G575" s="30"/>
      <c r="H575" s="33"/>
      <c r="I575" s="37"/>
      <c r="J575" s="664"/>
      <c r="K575" s="37"/>
      <c r="L575" s="30"/>
      <c r="M575" s="30"/>
      <c r="N575" s="30"/>
    </row>
    <row r="576" spans="2:14">
      <c r="B576" s="30"/>
      <c r="C576" s="30"/>
      <c r="G576" s="30"/>
      <c r="H576" s="33"/>
      <c r="I576" s="37"/>
      <c r="J576" s="664"/>
      <c r="K576" s="37"/>
      <c r="L576" s="30"/>
      <c r="M576" s="30"/>
      <c r="N576" s="30"/>
    </row>
    <row r="577" spans="2:14">
      <c r="B577" s="30"/>
      <c r="C577" s="30"/>
      <c r="G577" s="30"/>
      <c r="H577" s="33"/>
      <c r="I577" s="37"/>
      <c r="J577" s="664"/>
      <c r="K577" s="37"/>
      <c r="L577" s="30"/>
      <c r="M577" s="30"/>
      <c r="N577" s="30"/>
    </row>
    <row r="578" spans="2:14">
      <c r="B578" s="30"/>
      <c r="C578" s="30"/>
      <c r="G578" s="30"/>
      <c r="H578" s="33"/>
      <c r="I578" s="37"/>
      <c r="J578" s="664"/>
      <c r="K578" s="37"/>
      <c r="L578" s="30"/>
      <c r="M578" s="30"/>
      <c r="N578" s="30"/>
    </row>
    <row r="579" spans="2:14">
      <c r="B579" s="30"/>
      <c r="C579" s="30"/>
      <c r="G579" s="30"/>
      <c r="H579" s="33"/>
      <c r="I579" s="37"/>
      <c r="J579" s="664"/>
      <c r="K579" s="37"/>
      <c r="L579" s="30"/>
      <c r="M579" s="30"/>
      <c r="N579" s="30"/>
    </row>
    <row r="580" spans="2:14">
      <c r="B580" s="30"/>
      <c r="C580" s="30"/>
      <c r="G580" s="30"/>
      <c r="H580" s="33"/>
      <c r="I580" s="37"/>
      <c r="J580" s="664"/>
      <c r="K580" s="37"/>
      <c r="L580" s="30"/>
      <c r="M580" s="30"/>
      <c r="N580" s="30"/>
    </row>
    <row r="581" spans="2:14">
      <c r="B581" s="30"/>
      <c r="C581" s="30"/>
      <c r="G581" s="30"/>
      <c r="H581" s="33"/>
      <c r="I581" s="37"/>
      <c r="J581" s="664"/>
      <c r="K581" s="37"/>
      <c r="L581" s="30"/>
      <c r="M581" s="30"/>
      <c r="N581" s="30"/>
    </row>
    <row r="582" spans="2:14">
      <c r="B582" s="30"/>
      <c r="C582" s="30"/>
      <c r="G582" s="30"/>
      <c r="H582" s="33"/>
      <c r="I582" s="37"/>
      <c r="J582" s="664"/>
      <c r="K582" s="37"/>
      <c r="L582" s="30"/>
      <c r="M582" s="30"/>
      <c r="N582" s="30"/>
    </row>
    <row r="583" spans="2:14">
      <c r="B583" s="30"/>
      <c r="C583" s="30"/>
      <c r="G583" s="30"/>
      <c r="H583" s="33"/>
      <c r="I583" s="37"/>
      <c r="J583" s="664"/>
      <c r="K583" s="37"/>
      <c r="L583" s="30"/>
      <c r="M583" s="30"/>
      <c r="N583" s="30"/>
    </row>
    <row r="584" spans="2:14">
      <c r="B584" s="30"/>
      <c r="C584" s="30"/>
      <c r="G584" s="30"/>
      <c r="H584" s="33"/>
      <c r="I584" s="37"/>
      <c r="J584" s="664"/>
      <c r="K584" s="37"/>
      <c r="L584" s="30"/>
      <c r="M584" s="30"/>
      <c r="N584" s="30"/>
    </row>
    <row r="585" spans="2:14">
      <c r="B585" s="30"/>
      <c r="C585" s="30"/>
      <c r="G585" s="30"/>
      <c r="H585" s="33"/>
      <c r="I585" s="37"/>
      <c r="J585" s="664"/>
      <c r="K585" s="37"/>
      <c r="L585" s="30"/>
      <c r="M585" s="30"/>
      <c r="N585" s="30"/>
    </row>
    <row r="586" spans="2:14">
      <c r="B586" s="30"/>
      <c r="C586" s="30"/>
      <c r="G586" s="30"/>
      <c r="H586" s="33"/>
      <c r="I586" s="37"/>
      <c r="J586" s="664"/>
      <c r="K586" s="37"/>
      <c r="L586" s="30"/>
      <c r="M586" s="30"/>
      <c r="N586" s="30"/>
    </row>
    <row r="587" spans="2:14">
      <c r="B587" s="30"/>
      <c r="C587" s="30"/>
      <c r="G587" s="30"/>
      <c r="H587" s="33"/>
      <c r="I587" s="37"/>
      <c r="J587" s="664"/>
      <c r="K587" s="37"/>
      <c r="L587" s="30"/>
      <c r="M587" s="30"/>
      <c r="N587" s="30"/>
    </row>
    <row r="588" spans="2:14">
      <c r="B588" s="30"/>
      <c r="C588" s="30"/>
      <c r="G588" s="30"/>
      <c r="H588" s="33"/>
      <c r="I588" s="37"/>
      <c r="J588" s="664"/>
      <c r="K588" s="37"/>
      <c r="L588" s="30"/>
      <c r="M588" s="30"/>
      <c r="N588" s="30"/>
    </row>
    <row r="589" spans="2:14">
      <c r="B589" s="30"/>
      <c r="C589" s="30"/>
      <c r="G589" s="30"/>
      <c r="H589" s="33"/>
      <c r="I589" s="37"/>
      <c r="J589" s="664"/>
      <c r="K589" s="37"/>
      <c r="L589" s="30"/>
      <c r="M589" s="30"/>
      <c r="N589" s="30"/>
    </row>
    <row r="590" spans="2:14">
      <c r="B590" s="30"/>
      <c r="C590" s="30"/>
      <c r="G590" s="30"/>
      <c r="H590" s="33"/>
      <c r="I590" s="37"/>
      <c r="J590" s="664"/>
      <c r="K590" s="37"/>
      <c r="L590" s="30"/>
      <c r="M590" s="30"/>
      <c r="N590" s="30"/>
    </row>
    <row r="591" spans="2:14">
      <c r="B591" s="30"/>
      <c r="C591" s="30"/>
      <c r="G591" s="30"/>
      <c r="H591" s="33"/>
      <c r="I591" s="37"/>
      <c r="J591" s="664"/>
      <c r="K591" s="37"/>
      <c r="L591" s="30"/>
      <c r="M591" s="30"/>
      <c r="N591" s="30"/>
    </row>
    <row r="592" spans="2:14">
      <c r="B592" s="30"/>
      <c r="C592" s="30"/>
      <c r="G592" s="30"/>
      <c r="H592" s="33"/>
      <c r="I592" s="37"/>
      <c r="J592" s="664"/>
      <c r="K592" s="37"/>
      <c r="L592" s="30"/>
      <c r="M592" s="30"/>
      <c r="N592" s="30"/>
    </row>
    <row r="593" spans="2:14">
      <c r="B593" s="30"/>
      <c r="C593" s="30"/>
      <c r="G593" s="30"/>
      <c r="H593" s="33"/>
      <c r="I593" s="37"/>
      <c r="J593" s="664"/>
      <c r="K593" s="37"/>
      <c r="L593" s="30"/>
      <c r="M593" s="30"/>
      <c r="N593" s="30"/>
    </row>
    <row r="594" spans="2:14">
      <c r="B594" s="30"/>
      <c r="C594" s="30"/>
      <c r="G594" s="30"/>
      <c r="H594" s="33"/>
      <c r="I594" s="37"/>
      <c r="J594" s="664"/>
      <c r="K594" s="37"/>
      <c r="L594" s="30"/>
      <c r="M594" s="30"/>
      <c r="N594" s="30"/>
    </row>
    <row r="595" spans="2:14">
      <c r="B595" s="30"/>
      <c r="C595" s="30"/>
      <c r="G595" s="30"/>
      <c r="H595" s="33"/>
      <c r="I595" s="37"/>
      <c r="J595" s="664"/>
      <c r="K595" s="37"/>
      <c r="L595" s="30"/>
      <c r="M595" s="30"/>
      <c r="N595" s="30"/>
    </row>
    <row r="596" spans="2:14">
      <c r="B596" s="30"/>
      <c r="C596" s="30"/>
      <c r="G596" s="30"/>
      <c r="H596" s="33"/>
      <c r="I596" s="37"/>
      <c r="J596" s="664"/>
      <c r="K596" s="37"/>
      <c r="L596" s="30"/>
      <c r="M596" s="30"/>
      <c r="N596" s="30"/>
    </row>
    <row r="597" spans="2:14">
      <c r="B597" s="30"/>
      <c r="C597" s="30"/>
      <c r="G597" s="30"/>
      <c r="H597" s="33"/>
      <c r="I597" s="37"/>
      <c r="J597" s="664"/>
      <c r="K597" s="37"/>
      <c r="L597" s="30"/>
      <c r="M597" s="30"/>
      <c r="N597" s="30"/>
    </row>
    <row r="598" spans="2:14">
      <c r="B598" s="30"/>
      <c r="C598" s="30"/>
      <c r="G598" s="30"/>
      <c r="H598" s="33"/>
      <c r="I598" s="37"/>
      <c r="J598" s="664"/>
      <c r="K598" s="37"/>
      <c r="L598" s="30"/>
      <c r="M598" s="30"/>
      <c r="N598" s="30"/>
    </row>
    <row r="599" spans="2:14">
      <c r="B599" s="30"/>
      <c r="C599" s="30"/>
      <c r="G599" s="30"/>
      <c r="H599" s="33"/>
      <c r="I599" s="37"/>
      <c r="J599" s="664"/>
      <c r="K599" s="37"/>
      <c r="L599" s="30"/>
      <c r="M599" s="30"/>
      <c r="N599" s="30"/>
    </row>
    <row r="600" spans="2:14">
      <c r="B600" s="30"/>
      <c r="C600" s="30"/>
      <c r="G600" s="30"/>
      <c r="H600" s="33"/>
      <c r="I600" s="37"/>
      <c r="J600" s="664"/>
      <c r="K600" s="37"/>
      <c r="L600" s="30"/>
      <c r="M600" s="30"/>
      <c r="N600" s="30"/>
    </row>
    <row r="601" spans="2:14">
      <c r="B601" s="30"/>
      <c r="C601" s="30"/>
      <c r="G601" s="30"/>
      <c r="H601" s="33"/>
      <c r="I601" s="37"/>
      <c r="J601" s="664"/>
      <c r="K601" s="37"/>
      <c r="L601" s="30"/>
      <c r="M601" s="30"/>
      <c r="N601" s="30"/>
    </row>
    <row r="602" spans="2:14">
      <c r="B602" s="30"/>
      <c r="C602" s="30"/>
      <c r="G602" s="30"/>
      <c r="H602" s="33"/>
      <c r="I602" s="37"/>
      <c r="J602" s="664"/>
      <c r="K602" s="37"/>
      <c r="L602" s="30"/>
      <c r="M602" s="30"/>
      <c r="N602" s="30"/>
    </row>
    <row r="603" spans="2:14">
      <c r="B603" s="30"/>
      <c r="C603" s="30"/>
      <c r="G603" s="30"/>
      <c r="H603" s="33"/>
      <c r="I603" s="37"/>
      <c r="J603" s="664"/>
      <c r="K603" s="37"/>
      <c r="L603" s="30"/>
      <c r="M603" s="30"/>
      <c r="N603" s="30"/>
    </row>
    <row r="604" spans="2:14">
      <c r="B604" s="30"/>
      <c r="C604" s="30"/>
      <c r="G604" s="30"/>
      <c r="H604" s="33"/>
      <c r="I604" s="37"/>
      <c r="J604" s="664"/>
      <c r="K604" s="37"/>
      <c r="L604" s="30"/>
      <c r="M604" s="30"/>
      <c r="N604" s="30"/>
    </row>
    <row r="605" spans="2:14">
      <c r="B605" s="30"/>
      <c r="C605" s="30"/>
      <c r="G605" s="30"/>
      <c r="H605" s="33"/>
      <c r="I605" s="37"/>
      <c r="J605" s="664"/>
      <c r="K605" s="37"/>
      <c r="L605" s="30"/>
      <c r="M605" s="30"/>
      <c r="N605" s="30"/>
    </row>
    <row r="606" spans="2:14">
      <c r="B606" s="30"/>
      <c r="C606" s="30"/>
      <c r="G606" s="30"/>
      <c r="H606" s="33"/>
      <c r="I606" s="37"/>
      <c r="J606" s="664"/>
      <c r="K606" s="37"/>
      <c r="L606" s="30"/>
      <c r="M606" s="30"/>
      <c r="N606" s="30"/>
    </row>
    <row r="607" spans="2:14">
      <c r="B607" s="30"/>
      <c r="C607" s="30"/>
      <c r="G607" s="30"/>
      <c r="H607" s="33"/>
      <c r="I607" s="37"/>
      <c r="J607" s="664"/>
      <c r="K607" s="37"/>
      <c r="L607" s="30"/>
      <c r="M607" s="30"/>
      <c r="N607" s="30"/>
    </row>
    <row r="608" spans="2:14">
      <c r="B608" s="30"/>
      <c r="C608" s="30"/>
      <c r="G608" s="30"/>
      <c r="H608" s="33"/>
      <c r="I608" s="37"/>
      <c r="J608" s="664"/>
      <c r="K608" s="37"/>
      <c r="L608" s="30"/>
      <c r="M608" s="30"/>
      <c r="N608" s="30"/>
    </row>
    <row r="609" spans="2:14">
      <c r="B609" s="30"/>
      <c r="C609" s="30"/>
      <c r="G609" s="30"/>
      <c r="H609" s="33"/>
      <c r="I609" s="37"/>
      <c r="J609" s="664"/>
      <c r="K609" s="37"/>
      <c r="L609" s="30"/>
      <c r="M609" s="30"/>
      <c r="N609" s="30"/>
    </row>
    <row r="610" spans="2:14">
      <c r="B610" s="30"/>
      <c r="C610" s="30"/>
      <c r="G610" s="30"/>
      <c r="H610" s="33"/>
      <c r="I610" s="37"/>
      <c r="J610" s="664"/>
      <c r="K610" s="37"/>
      <c r="L610" s="30"/>
      <c r="M610" s="30"/>
      <c r="N610" s="30"/>
    </row>
    <row r="611" spans="2:14">
      <c r="B611" s="30"/>
      <c r="C611" s="30"/>
      <c r="G611" s="30"/>
      <c r="H611" s="33"/>
      <c r="I611" s="37"/>
      <c r="J611" s="664"/>
      <c r="K611" s="37"/>
      <c r="L611" s="30"/>
      <c r="M611" s="30"/>
      <c r="N611" s="30"/>
    </row>
    <row r="612" spans="2:14">
      <c r="B612" s="30"/>
      <c r="C612" s="30"/>
      <c r="G612" s="30"/>
      <c r="H612" s="33"/>
      <c r="I612" s="37"/>
      <c r="J612" s="664"/>
      <c r="K612" s="37"/>
      <c r="L612" s="30"/>
      <c r="M612" s="30"/>
      <c r="N612" s="30"/>
    </row>
    <row r="613" spans="2:14">
      <c r="B613" s="30"/>
      <c r="C613" s="30"/>
      <c r="G613" s="30"/>
      <c r="H613" s="33"/>
      <c r="I613" s="37"/>
      <c r="J613" s="664"/>
      <c r="K613" s="37"/>
      <c r="L613" s="30"/>
      <c r="M613" s="30"/>
      <c r="N613" s="30"/>
    </row>
    <row r="614" spans="2:14">
      <c r="B614" s="30"/>
      <c r="C614" s="30"/>
      <c r="G614" s="30"/>
      <c r="H614" s="33"/>
      <c r="I614" s="37"/>
      <c r="J614" s="664"/>
      <c r="K614" s="37"/>
      <c r="L614" s="30"/>
      <c r="M614" s="30"/>
      <c r="N614" s="30"/>
    </row>
    <row r="615" spans="2:14">
      <c r="B615" s="30"/>
      <c r="C615" s="30"/>
      <c r="G615" s="30"/>
      <c r="H615" s="33"/>
      <c r="I615" s="37"/>
      <c r="J615" s="664"/>
      <c r="K615" s="37"/>
      <c r="L615" s="30"/>
      <c r="M615" s="30"/>
      <c r="N615" s="30"/>
    </row>
    <row r="616" spans="2:14">
      <c r="B616" s="30"/>
      <c r="C616" s="30"/>
      <c r="G616" s="30"/>
      <c r="H616" s="33"/>
      <c r="I616" s="37"/>
      <c r="J616" s="664"/>
      <c r="K616" s="37"/>
      <c r="L616" s="30"/>
      <c r="M616" s="30"/>
      <c r="N616" s="30"/>
    </row>
    <row r="617" spans="2:14">
      <c r="B617" s="30"/>
      <c r="C617" s="30"/>
      <c r="G617" s="30"/>
      <c r="H617" s="33"/>
      <c r="I617" s="37"/>
      <c r="J617" s="664"/>
      <c r="K617" s="37"/>
      <c r="L617" s="30"/>
      <c r="M617" s="30"/>
      <c r="N617" s="30"/>
    </row>
    <row r="618" spans="2:14">
      <c r="B618" s="30"/>
      <c r="C618" s="30"/>
      <c r="G618" s="30"/>
      <c r="H618" s="33"/>
      <c r="I618" s="37"/>
      <c r="J618" s="664"/>
      <c r="K618" s="37"/>
      <c r="L618" s="30"/>
      <c r="M618" s="30"/>
      <c r="N618" s="30"/>
    </row>
    <row r="619" spans="2:14">
      <c r="B619" s="30"/>
      <c r="C619" s="30"/>
      <c r="G619" s="30"/>
      <c r="H619" s="33"/>
      <c r="I619" s="37"/>
      <c r="J619" s="664"/>
      <c r="K619" s="37"/>
      <c r="L619" s="30"/>
      <c r="M619" s="30"/>
      <c r="N619" s="30"/>
    </row>
    <row r="620" spans="2:14">
      <c r="B620" s="30"/>
      <c r="C620" s="30"/>
      <c r="G620" s="30"/>
      <c r="H620" s="33"/>
      <c r="I620" s="37"/>
      <c r="J620" s="664"/>
      <c r="K620" s="37"/>
      <c r="L620" s="30"/>
      <c r="M620" s="30"/>
      <c r="N620" s="30"/>
    </row>
    <row r="621" spans="2:14">
      <c r="B621" s="30"/>
      <c r="C621" s="30"/>
      <c r="G621" s="30"/>
      <c r="H621" s="33"/>
      <c r="I621" s="37"/>
      <c r="J621" s="664"/>
      <c r="K621" s="37"/>
      <c r="L621" s="30"/>
      <c r="M621" s="30"/>
      <c r="N621" s="30"/>
    </row>
    <row r="622" spans="2:14">
      <c r="B622" s="30"/>
      <c r="C622" s="30"/>
      <c r="G622" s="30"/>
      <c r="H622" s="33"/>
      <c r="I622" s="37"/>
      <c r="J622" s="664"/>
      <c r="K622" s="37"/>
      <c r="L622" s="30"/>
      <c r="M622" s="30"/>
      <c r="N622" s="30"/>
    </row>
    <row r="623" spans="2:14">
      <c r="B623" s="30"/>
      <c r="C623" s="30"/>
      <c r="G623" s="30"/>
      <c r="H623" s="33"/>
      <c r="I623" s="37"/>
      <c r="J623" s="664"/>
      <c r="K623" s="37"/>
      <c r="L623" s="30"/>
      <c r="M623" s="30"/>
      <c r="N623" s="30"/>
    </row>
    <row r="624" spans="2:14">
      <c r="B624" s="30"/>
      <c r="C624" s="30"/>
      <c r="G624" s="30"/>
      <c r="H624" s="33"/>
      <c r="I624" s="37"/>
      <c r="J624" s="664"/>
      <c r="K624" s="37"/>
      <c r="L624" s="30"/>
      <c r="M624" s="30"/>
      <c r="N624" s="30"/>
    </row>
    <row r="625" spans="2:14">
      <c r="B625" s="30"/>
      <c r="C625" s="30"/>
      <c r="G625" s="30"/>
      <c r="H625" s="33"/>
      <c r="I625" s="37"/>
      <c r="J625" s="664"/>
      <c r="K625" s="37"/>
      <c r="L625" s="30"/>
      <c r="M625" s="30"/>
      <c r="N625" s="30"/>
    </row>
    <row r="626" spans="2:14">
      <c r="B626" s="30"/>
      <c r="C626" s="30"/>
      <c r="G626" s="30"/>
      <c r="H626" s="33"/>
      <c r="I626" s="37"/>
      <c r="J626" s="664"/>
      <c r="K626" s="37"/>
      <c r="L626" s="30"/>
      <c r="M626" s="30"/>
      <c r="N626" s="30"/>
    </row>
    <row r="627" spans="2:14">
      <c r="B627" s="30"/>
      <c r="C627" s="30"/>
      <c r="G627" s="30"/>
      <c r="H627" s="33"/>
      <c r="I627" s="37"/>
      <c r="J627" s="664"/>
      <c r="K627" s="37"/>
      <c r="L627" s="30"/>
      <c r="M627" s="30"/>
      <c r="N627" s="30"/>
    </row>
    <row r="628" spans="2:14">
      <c r="B628" s="30"/>
      <c r="C628" s="30"/>
      <c r="G628" s="30"/>
      <c r="H628" s="33"/>
      <c r="I628" s="37"/>
      <c r="J628" s="664"/>
      <c r="K628" s="37"/>
      <c r="L628" s="30"/>
      <c r="M628" s="30"/>
      <c r="N628" s="30"/>
    </row>
    <row r="629" spans="2:14">
      <c r="B629" s="30"/>
      <c r="C629" s="30"/>
      <c r="G629" s="30"/>
      <c r="H629" s="33"/>
      <c r="I629" s="37"/>
      <c r="J629" s="664"/>
      <c r="K629" s="37"/>
      <c r="L629" s="30"/>
      <c r="M629" s="30"/>
      <c r="N629" s="30"/>
    </row>
    <row r="630" spans="2:14">
      <c r="B630" s="30"/>
      <c r="C630" s="30"/>
      <c r="G630" s="30"/>
      <c r="H630" s="33"/>
      <c r="I630" s="37"/>
      <c r="J630" s="664"/>
      <c r="K630" s="37"/>
      <c r="L630" s="30"/>
      <c r="M630" s="30"/>
      <c r="N630" s="30"/>
    </row>
    <row r="631" spans="2:14">
      <c r="B631" s="30"/>
      <c r="C631" s="30"/>
      <c r="G631" s="30"/>
      <c r="H631" s="33"/>
      <c r="I631" s="37"/>
      <c r="J631" s="664"/>
      <c r="K631" s="37"/>
      <c r="L631" s="30"/>
      <c r="M631" s="30"/>
      <c r="N631" s="30"/>
    </row>
    <row r="632" spans="2:14">
      <c r="B632" s="30"/>
      <c r="C632" s="30"/>
      <c r="G632" s="30"/>
      <c r="H632" s="33"/>
      <c r="I632" s="37"/>
      <c r="J632" s="664"/>
      <c r="K632" s="37"/>
      <c r="L632" s="30"/>
      <c r="M632" s="30"/>
      <c r="N632" s="30"/>
    </row>
    <row r="633" spans="2:14">
      <c r="B633" s="30"/>
      <c r="C633" s="30"/>
      <c r="G633" s="30"/>
      <c r="H633" s="33"/>
      <c r="I633" s="37"/>
      <c r="J633" s="664"/>
      <c r="K633" s="37"/>
      <c r="L633" s="30"/>
      <c r="M633" s="30"/>
      <c r="N633" s="30"/>
    </row>
    <row r="634" spans="2:14">
      <c r="B634" s="30"/>
      <c r="C634" s="30"/>
      <c r="G634" s="30"/>
      <c r="H634" s="33"/>
      <c r="I634" s="37"/>
      <c r="J634" s="664"/>
      <c r="K634" s="37"/>
      <c r="L634" s="30"/>
      <c r="M634" s="30"/>
      <c r="N634" s="30"/>
    </row>
    <row r="635" spans="2:14">
      <c r="B635" s="30"/>
      <c r="C635" s="30"/>
      <c r="G635" s="30"/>
      <c r="H635" s="33"/>
      <c r="I635" s="37"/>
      <c r="J635" s="664"/>
      <c r="K635" s="37"/>
      <c r="L635" s="30"/>
      <c r="M635" s="30"/>
      <c r="N635" s="30"/>
    </row>
    <row r="636" spans="2:14">
      <c r="B636" s="30"/>
      <c r="C636" s="30"/>
      <c r="G636" s="30"/>
      <c r="H636" s="33"/>
      <c r="I636" s="37"/>
      <c r="J636" s="664"/>
      <c r="K636" s="37"/>
      <c r="L636" s="30"/>
      <c r="M636" s="30"/>
      <c r="N636" s="30"/>
    </row>
    <row r="637" spans="2:14">
      <c r="B637" s="30"/>
      <c r="C637" s="30"/>
      <c r="G637" s="30"/>
      <c r="H637" s="33"/>
      <c r="I637" s="37"/>
      <c r="J637" s="664"/>
      <c r="K637" s="37"/>
      <c r="L637" s="30"/>
      <c r="M637" s="30"/>
      <c r="N637" s="30"/>
    </row>
    <row r="638" spans="2:14">
      <c r="B638" s="30"/>
      <c r="C638" s="30"/>
      <c r="G638" s="30"/>
      <c r="H638" s="33"/>
      <c r="I638" s="37"/>
      <c r="J638" s="664"/>
      <c r="K638" s="37"/>
      <c r="L638" s="30"/>
      <c r="M638" s="30"/>
      <c r="N638" s="30"/>
    </row>
    <row r="639" spans="2:14">
      <c r="B639" s="30"/>
      <c r="C639" s="30"/>
      <c r="G639" s="30"/>
      <c r="H639" s="33"/>
      <c r="I639" s="37"/>
      <c r="J639" s="664"/>
      <c r="K639" s="37"/>
      <c r="L639" s="30"/>
      <c r="M639" s="30"/>
      <c r="N639" s="30"/>
    </row>
    <row r="640" spans="2:14">
      <c r="B640" s="30"/>
      <c r="C640" s="30"/>
      <c r="G640" s="30"/>
      <c r="H640" s="33"/>
      <c r="I640" s="37"/>
      <c r="J640" s="664"/>
      <c r="K640" s="37"/>
      <c r="L640" s="30"/>
      <c r="M640" s="30"/>
      <c r="N640" s="30"/>
    </row>
    <row r="641" spans="2:14">
      <c r="B641" s="30"/>
      <c r="C641" s="30"/>
      <c r="G641" s="30"/>
      <c r="H641" s="33"/>
      <c r="I641" s="37"/>
      <c r="J641" s="664"/>
      <c r="K641" s="37"/>
      <c r="L641" s="30"/>
      <c r="M641" s="30"/>
      <c r="N641" s="30"/>
    </row>
    <row r="642" spans="2:14">
      <c r="B642" s="30"/>
      <c r="C642" s="30"/>
      <c r="G642" s="30"/>
      <c r="H642" s="33"/>
      <c r="I642" s="37"/>
      <c r="J642" s="664"/>
      <c r="K642" s="37"/>
      <c r="L642" s="30"/>
      <c r="M642" s="30"/>
      <c r="N642" s="30"/>
    </row>
    <row r="643" spans="2:14">
      <c r="B643" s="30"/>
      <c r="C643" s="30"/>
      <c r="G643" s="30"/>
      <c r="H643" s="33"/>
      <c r="I643" s="37"/>
      <c r="J643" s="664"/>
      <c r="K643" s="37"/>
      <c r="L643" s="30"/>
      <c r="M643" s="30"/>
      <c r="N643" s="30"/>
    </row>
    <row r="644" spans="2:14">
      <c r="B644" s="30"/>
      <c r="C644" s="30"/>
      <c r="G644" s="30"/>
      <c r="H644" s="33"/>
      <c r="I644" s="37"/>
      <c r="J644" s="664"/>
      <c r="K644" s="37"/>
      <c r="L644" s="30"/>
      <c r="M644" s="30"/>
      <c r="N644" s="30"/>
    </row>
    <row r="645" spans="2:14">
      <c r="B645" s="30"/>
      <c r="C645" s="30"/>
      <c r="G645" s="30"/>
      <c r="H645" s="33"/>
      <c r="I645" s="37"/>
      <c r="J645" s="664"/>
      <c r="K645" s="37"/>
      <c r="L645" s="30"/>
      <c r="M645" s="30"/>
      <c r="N645" s="30"/>
    </row>
    <row r="646" spans="2:14">
      <c r="B646" s="30"/>
      <c r="C646" s="30"/>
      <c r="G646" s="30"/>
      <c r="H646" s="33"/>
      <c r="I646" s="37"/>
      <c r="J646" s="664"/>
      <c r="K646" s="37"/>
      <c r="L646" s="30"/>
      <c r="M646" s="30"/>
      <c r="N646" s="30"/>
    </row>
    <row r="647" spans="2:14">
      <c r="B647" s="30"/>
      <c r="C647" s="30"/>
      <c r="G647" s="30"/>
      <c r="H647" s="33"/>
      <c r="I647" s="37"/>
      <c r="J647" s="664"/>
      <c r="K647" s="37"/>
      <c r="L647" s="30"/>
      <c r="M647" s="30"/>
      <c r="N647" s="30"/>
    </row>
    <row r="648" spans="2:14">
      <c r="B648" s="30"/>
      <c r="C648" s="30"/>
      <c r="G648" s="30"/>
      <c r="H648" s="33"/>
      <c r="I648" s="37"/>
      <c r="J648" s="664"/>
      <c r="K648" s="37"/>
      <c r="L648" s="30"/>
      <c r="M648" s="30"/>
      <c r="N648" s="30"/>
    </row>
    <row r="649" spans="2:14">
      <c r="B649" s="30"/>
      <c r="C649" s="30"/>
      <c r="G649" s="30"/>
      <c r="H649" s="33"/>
      <c r="I649" s="37"/>
      <c r="J649" s="664"/>
      <c r="K649" s="37"/>
      <c r="L649" s="30"/>
      <c r="M649" s="30"/>
      <c r="N649" s="30"/>
    </row>
    <row r="650" spans="2:14">
      <c r="B650" s="30"/>
      <c r="C650" s="30"/>
      <c r="G650" s="30"/>
      <c r="H650" s="33"/>
      <c r="I650" s="37"/>
      <c r="J650" s="664"/>
      <c r="K650" s="37"/>
      <c r="L650" s="30"/>
      <c r="M650" s="30"/>
      <c r="N650" s="30"/>
    </row>
    <row r="651" spans="2:14">
      <c r="B651" s="30"/>
      <c r="C651" s="30"/>
      <c r="G651" s="30"/>
      <c r="H651" s="33"/>
      <c r="I651" s="37"/>
      <c r="J651" s="664"/>
      <c r="K651" s="37"/>
      <c r="L651" s="30"/>
      <c r="M651" s="30"/>
      <c r="N651" s="30"/>
    </row>
    <row r="652" spans="2:14">
      <c r="B652" s="30"/>
      <c r="C652" s="30"/>
      <c r="G652" s="30"/>
      <c r="H652" s="33"/>
      <c r="I652" s="37"/>
      <c r="J652" s="664"/>
      <c r="K652" s="37"/>
      <c r="L652" s="30"/>
      <c r="M652" s="30"/>
      <c r="N652" s="30"/>
    </row>
    <row r="653" spans="2:14">
      <c r="B653" s="30"/>
      <c r="C653" s="30"/>
      <c r="G653" s="30"/>
      <c r="H653" s="33"/>
      <c r="I653" s="37"/>
      <c r="J653" s="664"/>
      <c r="K653" s="37"/>
      <c r="L653" s="30"/>
      <c r="M653" s="30"/>
      <c r="N653" s="30"/>
    </row>
    <row r="654" spans="2:14">
      <c r="B654" s="30"/>
      <c r="C654" s="30"/>
      <c r="G654" s="30"/>
      <c r="H654" s="33"/>
      <c r="I654" s="37"/>
      <c r="J654" s="664"/>
      <c r="K654" s="37"/>
      <c r="L654" s="30"/>
      <c r="M654" s="30"/>
      <c r="N654" s="30"/>
    </row>
    <row r="655" spans="2:14">
      <c r="B655" s="30"/>
      <c r="C655" s="30"/>
      <c r="G655" s="30"/>
      <c r="H655" s="33"/>
      <c r="I655" s="37"/>
      <c r="J655" s="664"/>
      <c r="K655" s="37"/>
      <c r="L655" s="30"/>
      <c r="M655" s="30"/>
      <c r="N655" s="30"/>
    </row>
    <row r="656" spans="2:14">
      <c r="B656" s="30"/>
      <c r="C656" s="30"/>
      <c r="G656" s="30"/>
      <c r="H656" s="33"/>
      <c r="I656" s="37"/>
      <c r="J656" s="664"/>
      <c r="K656" s="37"/>
      <c r="L656" s="30"/>
      <c r="M656" s="30"/>
      <c r="N656" s="30"/>
    </row>
    <row r="657" spans="2:14">
      <c r="B657" s="30"/>
      <c r="C657" s="30"/>
      <c r="G657" s="30"/>
      <c r="H657" s="33"/>
      <c r="I657" s="37"/>
      <c r="J657" s="664"/>
      <c r="K657" s="37"/>
      <c r="L657" s="30"/>
      <c r="M657" s="30"/>
      <c r="N657" s="30"/>
    </row>
    <row r="658" spans="2:14">
      <c r="B658" s="30"/>
      <c r="C658" s="30"/>
      <c r="G658" s="30"/>
      <c r="H658" s="33"/>
      <c r="I658" s="37"/>
      <c r="J658" s="664"/>
      <c r="K658" s="37"/>
      <c r="L658" s="30"/>
      <c r="M658" s="30"/>
      <c r="N658" s="30"/>
    </row>
    <row r="659" spans="2:14">
      <c r="B659" s="30"/>
      <c r="C659" s="30"/>
      <c r="G659" s="30"/>
      <c r="H659" s="33"/>
      <c r="I659" s="37"/>
      <c r="J659" s="664"/>
      <c r="K659" s="37"/>
      <c r="L659" s="30"/>
      <c r="M659" s="30"/>
      <c r="N659" s="30"/>
    </row>
    <row r="660" spans="2:14">
      <c r="B660" s="30"/>
      <c r="C660" s="30"/>
      <c r="G660" s="30"/>
      <c r="H660" s="33"/>
      <c r="I660" s="37"/>
      <c r="J660" s="664"/>
      <c r="K660" s="37"/>
      <c r="L660" s="30"/>
      <c r="M660" s="30"/>
      <c r="N660" s="30"/>
    </row>
    <row r="661" spans="2:14">
      <c r="B661" s="30"/>
      <c r="C661" s="30"/>
      <c r="G661" s="30"/>
      <c r="H661" s="33"/>
      <c r="I661" s="37"/>
      <c r="J661" s="664"/>
      <c r="K661" s="37"/>
      <c r="L661" s="30"/>
      <c r="M661" s="30"/>
      <c r="N661" s="30"/>
    </row>
    <row r="662" spans="2:14">
      <c r="B662" s="30"/>
      <c r="C662" s="30"/>
      <c r="G662" s="30"/>
      <c r="H662" s="33"/>
      <c r="I662" s="37"/>
      <c r="J662" s="664"/>
      <c r="K662" s="37"/>
      <c r="L662" s="30"/>
      <c r="M662" s="30"/>
      <c r="N662" s="30"/>
    </row>
    <row r="663" spans="2:14">
      <c r="B663" s="30"/>
      <c r="C663" s="30"/>
      <c r="G663" s="30"/>
      <c r="H663" s="33"/>
      <c r="I663" s="37"/>
      <c r="J663" s="664"/>
      <c r="K663" s="37"/>
      <c r="L663" s="30"/>
      <c r="M663" s="30"/>
      <c r="N663" s="30"/>
    </row>
    <row r="664" spans="2:14">
      <c r="B664" s="30"/>
      <c r="C664" s="30"/>
      <c r="G664" s="30"/>
      <c r="H664" s="33"/>
      <c r="I664" s="37"/>
      <c r="J664" s="664"/>
      <c r="K664" s="37"/>
      <c r="L664" s="30"/>
      <c r="M664" s="30"/>
      <c r="N664" s="30"/>
    </row>
    <row r="665" spans="2:14">
      <c r="B665" s="30"/>
      <c r="C665" s="30"/>
      <c r="G665" s="30"/>
      <c r="H665" s="33"/>
      <c r="I665" s="37"/>
      <c r="J665" s="664"/>
      <c r="K665" s="37"/>
      <c r="L665" s="30"/>
      <c r="M665" s="30"/>
      <c r="N665" s="30"/>
    </row>
    <row r="666" spans="2:14">
      <c r="B666" s="30"/>
      <c r="C666" s="30"/>
      <c r="G666" s="30"/>
      <c r="H666" s="33"/>
      <c r="I666" s="37"/>
      <c r="J666" s="664"/>
      <c r="K666" s="37"/>
      <c r="L666" s="30"/>
      <c r="M666" s="30"/>
      <c r="N666" s="30"/>
    </row>
    <row r="667" spans="2:14">
      <c r="B667" s="30"/>
      <c r="C667" s="30"/>
      <c r="G667" s="30"/>
      <c r="H667" s="33"/>
      <c r="I667" s="37"/>
      <c r="J667" s="664"/>
      <c r="K667" s="37"/>
      <c r="L667" s="30"/>
      <c r="M667" s="30"/>
      <c r="N667" s="30"/>
    </row>
    <row r="668" spans="2:14">
      <c r="B668" s="30"/>
      <c r="C668" s="30"/>
      <c r="G668" s="30"/>
      <c r="H668" s="33"/>
      <c r="I668" s="37"/>
      <c r="J668" s="664"/>
      <c r="K668" s="37"/>
      <c r="L668" s="30"/>
      <c r="M668" s="30"/>
      <c r="N668" s="30"/>
    </row>
    <row r="669" spans="2:14">
      <c r="B669" s="30"/>
      <c r="C669" s="30"/>
      <c r="G669" s="30"/>
      <c r="H669" s="33"/>
      <c r="I669" s="37"/>
      <c r="J669" s="664"/>
      <c r="K669" s="37"/>
      <c r="L669" s="30"/>
      <c r="M669" s="30"/>
      <c r="N669" s="30"/>
    </row>
    <row r="670" spans="2:14">
      <c r="B670" s="30"/>
      <c r="C670" s="30"/>
      <c r="G670" s="30"/>
      <c r="H670" s="33"/>
      <c r="I670" s="37"/>
      <c r="J670" s="664"/>
      <c r="K670" s="37"/>
      <c r="L670" s="30"/>
      <c r="M670" s="30"/>
      <c r="N670" s="30"/>
    </row>
    <row r="671" spans="2:14">
      <c r="B671" s="30"/>
      <c r="C671" s="30"/>
      <c r="G671" s="30"/>
      <c r="H671" s="33"/>
      <c r="I671" s="37"/>
      <c r="J671" s="664"/>
      <c r="K671" s="37"/>
      <c r="L671" s="30"/>
      <c r="M671" s="30"/>
      <c r="N671" s="30"/>
    </row>
    <row r="672" spans="2:14">
      <c r="B672" s="30"/>
      <c r="C672" s="30"/>
      <c r="G672" s="30"/>
      <c r="H672" s="33"/>
      <c r="I672" s="37"/>
      <c r="J672" s="664"/>
      <c r="K672" s="37"/>
      <c r="L672" s="30"/>
      <c r="M672" s="30"/>
      <c r="N672" s="30"/>
    </row>
    <row r="673" spans="2:14">
      <c r="B673" s="30"/>
      <c r="C673" s="30"/>
      <c r="G673" s="30"/>
      <c r="H673" s="33"/>
      <c r="I673" s="37"/>
      <c r="J673" s="664"/>
      <c r="K673" s="37"/>
      <c r="L673" s="30"/>
      <c r="M673" s="30"/>
      <c r="N673" s="30"/>
    </row>
    <row r="674" spans="2:14">
      <c r="B674" s="30"/>
      <c r="C674" s="30"/>
      <c r="G674" s="30"/>
      <c r="H674" s="33"/>
      <c r="I674" s="37"/>
      <c r="J674" s="664"/>
      <c r="K674" s="37"/>
      <c r="L674" s="30"/>
      <c r="M674" s="30"/>
      <c r="N674" s="30"/>
    </row>
    <row r="675" spans="2:14">
      <c r="B675" s="30"/>
      <c r="C675" s="30"/>
      <c r="G675" s="30"/>
      <c r="H675" s="33"/>
      <c r="I675" s="37"/>
      <c r="J675" s="664"/>
      <c r="K675" s="37"/>
      <c r="L675" s="30"/>
      <c r="M675" s="30"/>
      <c r="N675" s="30"/>
    </row>
    <row r="676" spans="2:14">
      <c r="B676" s="30"/>
      <c r="C676" s="30"/>
      <c r="G676" s="30"/>
      <c r="H676" s="33"/>
      <c r="I676" s="37"/>
      <c r="J676" s="664"/>
      <c r="K676" s="37"/>
      <c r="L676" s="30"/>
      <c r="M676" s="30"/>
      <c r="N676" s="30"/>
    </row>
    <row r="677" spans="2:14">
      <c r="B677" s="30"/>
      <c r="C677" s="30"/>
      <c r="G677" s="30"/>
      <c r="H677" s="33"/>
      <c r="I677" s="37"/>
      <c r="J677" s="664"/>
      <c r="K677" s="37"/>
      <c r="L677" s="30"/>
      <c r="M677" s="30"/>
      <c r="N677" s="30"/>
    </row>
    <row r="678" spans="2:14">
      <c r="B678" s="30"/>
      <c r="C678" s="30"/>
      <c r="G678" s="30"/>
      <c r="H678" s="33"/>
      <c r="I678" s="37"/>
      <c r="J678" s="664"/>
      <c r="K678" s="37"/>
      <c r="L678" s="30"/>
      <c r="M678" s="30"/>
      <c r="N678" s="30"/>
    </row>
    <row r="679" spans="2:14">
      <c r="B679" s="30"/>
      <c r="C679" s="30"/>
      <c r="G679" s="30"/>
      <c r="H679" s="33"/>
      <c r="I679" s="37"/>
      <c r="J679" s="664"/>
      <c r="K679" s="37"/>
      <c r="L679" s="30"/>
      <c r="M679" s="30"/>
      <c r="N679" s="30"/>
    </row>
    <row r="680" spans="2:14">
      <c r="B680" s="30"/>
      <c r="C680" s="30"/>
      <c r="G680" s="30"/>
      <c r="H680" s="33"/>
      <c r="I680" s="37"/>
      <c r="J680" s="664"/>
      <c r="K680" s="37"/>
      <c r="L680" s="30"/>
      <c r="M680" s="30"/>
      <c r="N680" s="30"/>
    </row>
    <row r="681" spans="2:14">
      <c r="B681" s="30"/>
      <c r="C681" s="30"/>
      <c r="G681" s="30"/>
      <c r="H681" s="33"/>
      <c r="I681" s="37"/>
      <c r="J681" s="664"/>
      <c r="K681" s="37"/>
      <c r="L681" s="30"/>
      <c r="M681" s="30"/>
      <c r="N681" s="30"/>
    </row>
    <row r="682" spans="2:14">
      <c r="B682" s="30"/>
      <c r="C682" s="30"/>
      <c r="G682" s="30"/>
      <c r="H682" s="33"/>
      <c r="I682" s="37"/>
      <c r="J682" s="664"/>
      <c r="K682" s="37"/>
      <c r="L682" s="30"/>
      <c r="M682" s="30"/>
      <c r="N682" s="30"/>
    </row>
    <row r="683" spans="2:14">
      <c r="B683" s="30"/>
      <c r="C683" s="30"/>
      <c r="G683" s="30"/>
      <c r="H683" s="33"/>
      <c r="I683" s="37"/>
      <c r="J683" s="664"/>
      <c r="K683" s="37"/>
      <c r="L683" s="30"/>
      <c r="M683" s="30"/>
      <c r="N683" s="30"/>
    </row>
    <row r="684" spans="2:14">
      <c r="B684" s="30"/>
      <c r="C684" s="30"/>
      <c r="G684" s="30"/>
      <c r="H684" s="33"/>
      <c r="I684" s="37"/>
      <c r="J684" s="664"/>
      <c r="K684" s="37"/>
      <c r="L684" s="30"/>
      <c r="M684" s="30"/>
      <c r="N684" s="30"/>
    </row>
    <row r="685" spans="2:14">
      <c r="B685" s="30"/>
      <c r="C685" s="30"/>
      <c r="G685" s="30"/>
      <c r="H685" s="33"/>
      <c r="I685" s="37"/>
      <c r="J685" s="664"/>
      <c r="K685" s="37"/>
      <c r="L685" s="30"/>
      <c r="M685" s="30"/>
      <c r="N685" s="30"/>
    </row>
    <row r="686" spans="2:14">
      <c r="B686" s="30"/>
      <c r="C686" s="30"/>
      <c r="G686" s="30"/>
      <c r="H686" s="33"/>
      <c r="I686" s="37"/>
      <c r="J686" s="664"/>
      <c r="K686" s="37"/>
      <c r="L686" s="30"/>
      <c r="M686" s="30"/>
      <c r="N686" s="30"/>
    </row>
    <row r="687" spans="2:14">
      <c r="B687" s="30"/>
      <c r="C687" s="30"/>
      <c r="G687" s="30"/>
      <c r="H687" s="33"/>
      <c r="I687" s="37"/>
      <c r="J687" s="664"/>
      <c r="K687" s="37"/>
      <c r="L687" s="30"/>
      <c r="M687" s="30"/>
      <c r="N687" s="30"/>
    </row>
    <row r="688" spans="2:14">
      <c r="B688" s="30"/>
      <c r="C688" s="30"/>
      <c r="G688" s="30"/>
      <c r="H688" s="33"/>
      <c r="I688" s="37"/>
      <c r="J688" s="664"/>
      <c r="K688" s="37"/>
      <c r="L688" s="30"/>
      <c r="M688" s="30"/>
      <c r="N688" s="30"/>
    </row>
    <row r="689" spans="2:14">
      <c r="B689" s="30"/>
      <c r="C689" s="30"/>
      <c r="G689" s="30"/>
      <c r="H689" s="33"/>
      <c r="I689" s="37"/>
      <c r="J689" s="664"/>
      <c r="K689" s="37"/>
      <c r="L689" s="30"/>
      <c r="M689" s="30"/>
      <c r="N689" s="30"/>
    </row>
    <row r="690" spans="2:14">
      <c r="B690" s="30"/>
      <c r="C690" s="30"/>
      <c r="G690" s="30"/>
      <c r="H690" s="33"/>
      <c r="I690" s="37"/>
      <c r="J690" s="664"/>
      <c r="K690" s="37"/>
      <c r="L690" s="30"/>
      <c r="M690" s="30"/>
      <c r="N690" s="30"/>
    </row>
    <row r="691" spans="2:14">
      <c r="B691" s="30"/>
      <c r="C691" s="30"/>
      <c r="G691" s="30"/>
      <c r="H691" s="33"/>
      <c r="I691" s="37"/>
      <c r="J691" s="664"/>
      <c r="K691" s="37"/>
      <c r="L691" s="30"/>
      <c r="M691" s="30"/>
      <c r="N691" s="30"/>
    </row>
    <row r="692" spans="2:14">
      <c r="B692" s="30"/>
      <c r="C692" s="30"/>
      <c r="G692" s="30"/>
      <c r="H692" s="33"/>
      <c r="I692" s="37"/>
      <c r="J692" s="664"/>
      <c r="K692" s="37"/>
      <c r="L692" s="30"/>
      <c r="M692" s="30"/>
      <c r="N692" s="30"/>
    </row>
    <row r="693" spans="2:14">
      <c r="B693" s="30"/>
      <c r="C693" s="30"/>
      <c r="G693" s="30"/>
      <c r="H693" s="33"/>
      <c r="I693" s="37"/>
      <c r="J693" s="664"/>
      <c r="K693" s="37"/>
      <c r="L693" s="30"/>
      <c r="M693" s="30"/>
      <c r="N693" s="30"/>
    </row>
    <row r="694" spans="2:14">
      <c r="B694" s="30"/>
      <c r="C694" s="30"/>
      <c r="G694" s="30"/>
      <c r="H694" s="33"/>
      <c r="I694" s="37"/>
      <c r="J694" s="664"/>
      <c r="K694" s="37"/>
      <c r="L694" s="30"/>
      <c r="M694" s="30"/>
      <c r="N694" s="30"/>
    </row>
    <row r="695" spans="2:14">
      <c r="B695" s="30"/>
      <c r="C695" s="30"/>
      <c r="G695" s="30"/>
      <c r="H695" s="33"/>
      <c r="I695" s="37"/>
      <c r="J695" s="664"/>
      <c r="K695" s="37"/>
      <c r="L695" s="30"/>
      <c r="M695" s="30"/>
      <c r="N695" s="30"/>
    </row>
    <row r="696" spans="2:14">
      <c r="B696" s="30"/>
      <c r="C696" s="30"/>
      <c r="G696" s="30"/>
      <c r="H696" s="33"/>
      <c r="I696" s="37"/>
      <c r="J696" s="664"/>
      <c r="K696" s="37"/>
      <c r="L696" s="30"/>
      <c r="M696" s="30"/>
      <c r="N696" s="30"/>
    </row>
    <row r="697" spans="2:14">
      <c r="B697" s="30"/>
      <c r="C697" s="30"/>
      <c r="G697" s="30"/>
      <c r="H697" s="33"/>
      <c r="I697" s="37"/>
      <c r="J697" s="664"/>
      <c r="K697" s="37"/>
      <c r="L697" s="30"/>
      <c r="M697" s="30"/>
      <c r="N697" s="30"/>
    </row>
    <row r="698" spans="2:14">
      <c r="B698" s="30"/>
      <c r="C698" s="30"/>
      <c r="G698" s="30"/>
      <c r="H698" s="33"/>
      <c r="I698" s="37"/>
      <c r="J698" s="664"/>
      <c r="K698" s="37"/>
      <c r="L698" s="30"/>
      <c r="M698" s="30"/>
      <c r="N698" s="30"/>
    </row>
    <row r="699" spans="2:14">
      <c r="B699" s="30"/>
      <c r="C699" s="30"/>
      <c r="G699" s="30"/>
      <c r="H699" s="33"/>
      <c r="I699" s="37"/>
      <c r="J699" s="664"/>
      <c r="K699" s="37"/>
      <c r="L699" s="30"/>
      <c r="M699" s="30"/>
      <c r="N699" s="30"/>
    </row>
    <row r="700" spans="2:14">
      <c r="B700" s="30"/>
      <c r="C700" s="30"/>
      <c r="G700" s="30"/>
      <c r="H700" s="33"/>
      <c r="I700" s="37"/>
      <c r="J700" s="664"/>
      <c r="K700" s="37"/>
      <c r="L700" s="30"/>
      <c r="M700" s="30"/>
      <c r="N700" s="30"/>
    </row>
    <row r="701" spans="2:14">
      <c r="B701" s="30"/>
      <c r="C701" s="30"/>
      <c r="G701" s="30"/>
      <c r="H701" s="33"/>
      <c r="I701" s="37"/>
      <c r="J701" s="664"/>
      <c r="K701" s="37"/>
      <c r="L701" s="30"/>
      <c r="M701" s="30"/>
      <c r="N701" s="30"/>
    </row>
    <row r="702" spans="2:14">
      <c r="B702" s="30"/>
      <c r="C702" s="30"/>
      <c r="G702" s="30"/>
      <c r="H702" s="33"/>
      <c r="I702" s="37"/>
      <c r="J702" s="664"/>
      <c r="K702" s="37"/>
      <c r="L702" s="30"/>
      <c r="M702" s="30"/>
      <c r="N702" s="30"/>
    </row>
    <row r="703" spans="2:14">
      <c r="B703" s="30"/>
      <c r="C703" s="30"/>
      <c r="G703" s="30"/>
      <c r="H703" s="33"/>
      <c r="I703" s="37"/>
      <c r="J703" s="664"/>
      <c r="K703" s="37"/>
      <c r="L703" s="30"/>
      <c r="M703" s="30"/>
      <c r="N703" s="30"/>
    </row>
    <row r="704" spans="2:14">
      <c r="B704" s="30"/>
      <c r="C704" s="30"/>
      <c r="G704" s="30"/>
      <c r="H704" s="33"/>
      <c r="I704" s="37"/>
      <c r="J704" s="664"/>
      <c r="K704" s="37"/>
      <c r="L704" s="30"/>
      <c r="M704" s="30"/>
      <c r="N704" s="30"/>
    </row>
    <row r="705" spans="2:14">
      <c r="B705" s="30"/>
      <c r="C705" s="30"/>
      <c r="G705" s="30"/>
      <c r="H705" s="33"/>
      <c r="I705" s="37"/>
      <c r="J705" s="664"/>
      <c r="K705" s="37"/>
      <c r="L705" s="30"/>
      <c r="M705" s="30"/>
      <c r="N705" s="30"/>
    </row>
    <row r="706" spans="2:14">
      <c r="B706" s="30"/>
      <c r="C706" s="30"/>
      <c r="G706" s="30"/>
      <c r="H706" s="33"/>
      <c r="I706" s="37"/>
      <c r="J706" s="664"/>
      <c r="K706" s="37"/>
      <c r="L706" s="30"/>
      <c r="M706" s="30"/>
      <c r="N706" s="30"/>
    </row>
    <row r="707" spans="2:14">
      <c r="B707" s="30"/>
      <c r="C707" s="30"/>
      <c r="G707" s="30"/>
      <c r="H707" s="33"/>
      <c r="I707" s="37"/>
      <c r="J707" s="664"/>
      <c r="K707" s="37"/>
      <c r="L707" s="30"/>
      <c r="M707" s="30"/>
      <c r="N707" s="30"/>
    </row>
    <row r="708" spans="2:14">
      <c r="B708" s="30"/>
      <c r="C708" s="30"/>
      <c r="G708" s="30"/>
      <c r="H708" s="33"/>
      <c r="I708" s="37"/>
      <c r="J708" s="664"/>
      <c r="K708" s="37"/>
      <c r="L708" s="30"/>
      <c r="M708" s="30"/>
      <c r="N708" s="30"/>
    </row>
    <row r="709" spans="2:14">
      <c r="B709" s="30"/>
      <c r="C709" s="30"/>
      <c r="G709" s="30"/>
      <c r="H709" s="33"/>
      <c r="I709" s="37"/>
      <c r="J709" s="664"/>
      <c r="K709" s="37"/>
      <c r="L709" s="30"/>
      <c r="M709" s="30"/>
      <c r="N709" s="30"/>
    </row>
    <row r="710" spans="2:14">
      <c r="B710" s="30"/>
      <c r="C710" s="30"/>
      <c r="G710" s="30"/>
      <c r="H710" s="33"/>
      <c r="I710" s="37"/>
      <c r="J710" s="664"/>
      <c r="K710" s="37"/>
      <c r="L710" s="30"/>
      <c r="M710" s="30"/>
      <c r="N710" s="30"/>
    </row>
    <row r="711" spans="2:14">
      <c r="B711" s="30"/>
      <c r="C711" s="30"/>
      <c r="G711" s="30"/>
      <c r="H711" s="33"/>
      <c r="I711" s="37"/>
      <c r="J711" s="664"/>
      <c r="K711" s="37"/>
      <c r="L711" s="30"/>
      <c r="M711" s="30"/>
      <c r="N711" s="30"/>
    </row>
    <row r="712" spans="2:14">
      <c r="B712" s="30"/>
      <c r="C712" s="30"/>
      <c r="G712" s="30"/>
      <c r="H712" s="33"/>
      <c r="I712" s="37"/>
      <c r="J712" s="664"/>
      <c r="K712" s="37"/>
      <c r="L712" s="30"/>
      <c r="M712" s="30"/>
      <c r="N712" s="30"/>
    </row>
    <row r="713" spans="2:14">
      <c r="B713" s="30"/>
      <c r="C713" s="30"/>
      <c r="G713" s="30"/>
      <c r="H713" s="33"/>
      <c r="I713" s="37"/>
      <c r="J713" s="664"/>
      <c r="K713" s="37"/>
      <c r="L713" s="30"/>
      <c r="M713" s="30"/>
      <c r="N713" s="30"/>
    </row>
    <row r="714" spans="2:14">
      <c r="B714" s="30"/>
      <c r="C714" s="30"/>
      <c r="G714" s="30"/>
      <c r="H714" s="33"/>
      <c r="I714" s="37"/>
      <c r="J714" s="664"/>
      <c r="K714" s="37"/>
      <c r="L714" s="30"/>
      <c r="M714" s="30"/>
      <c r="N714" s="30"/>
    </row>
    <row r="715" spans="2:14">
      <c r="B715" s="30"/>
      <c r="C715" s="30"/>
      <c r="G715" s="30"/>
      <c r="H715" s="33"/>
      <c r="I715" s="37"/>
      <c r="J715" s="664"/>
      <c r="K715" s="37"/>
      <c r="L715" s="30"/>
      <c r="M715" s="30"/>
      <c r="N715" s="30"/>
    </row>
    <row r="716" spans="2:14">
      <c r="B716" s="30"/>
      <c r="C716" s="30"/>
      <c r="G716" s="30"/>
      <c r="H716" s="33"/>
      <c r="I716" s="37"/>
      <c r="J716" s="664"/>
      <c r="K716" s="37"/>
      <c r="L716" s="30"/>
      <c r="M716" s="30"/>
      <c r="N716" s="30"/>
    </row>
    <row r="717" spans="2:14">
      <c r="B717" s="30"/>
      <c r="C717" s="30"/>
      <c r="G717" s="30"/>
      <c r="H717" s="33"/>
      <c r="I717" s="37"/>
      <c r="J717" s="664"/>
      <c r="K717" s="37"/>
      <c r="L717" s="30"/>
      <c r="M717" s="30"/>
      <c r="N717" s="30"/>
    </row>
    <row r="718" spans="2:14">
      <c r="B718" s="30"/>
      <c r="C718" s="30"/>
      <c r="G718" s="30"/>
      <c r="H718" s="33"/>
      <c r="I718" s="37"/>
      <c r="J718" s="664"/>
      <c r="K718" s="37"/>
      <c r="L718" s="30"/>
      <c r="M718" s="30"/>
      <c r="N718" s="30"/>
    </row>
    <row r="719" spans="2:14">
      <c r="B719" s="30"/>
      <c r="C719" s="30"/>
      <c r="G719" s="30"/>
      <c r="H719" s="33"/>
      <c r="I719" s="37"/>
      <c r="J719" s="664"/>
      <c r="K719" s="37"/>
      <c r="L719" s="30"/>
      <c r="M719" s="30"/>
      <c r="N719" s="30"/>
    </row>
    <row r="720" spans="2:14">
      <c r="B720" s="30"/>
      <c r="C720" s="30"/>
      <c r="G720" s="30"/>
      <c r="H720" s="33"/>
      <c r="I720" s="37"/>
      <c r="J720" s="664"/>
      <c r="K720" s="37"/>
      <c r="L720" s="30"/>
      <c r="M720" s="30"/>
      <c r="N720" s="30"/>
    </row>
    <row r="721" spans="2:14">
      <c r="B721" s="30"/>
      <c r="C721" s="30"/>
      <c r="G721" s="30"/>
      <c r="H721" s="33"/>
      <c r="I721" s="37"/>
      <c r="J721" s="664"/>
      <c r="K721" s="37"/>
      <c r="L721" s="30"/>
      <c r="M721" s="30"/>
      <c r="N721" s="30"/>
    </row>
    <row r="722" spans="2:14">
      <c r="B722" s="30"/>
      <c r="C722" s="30"/>
      <c r="G722" s="30"/>
      <c r="H722" s="33"/>
      <c r="I722" s="37"/>
      <c r="J722" s="664"/>
      <c r="K722" s="37"/>
      <c r="L722" s="30"/>
      <c r="M722" s="30"/>
      <c r="N722" s="30"/>
    </row>
    <row r="723" spans="2:14">
      <c r="B723" s="30"/>
      <c r="C723" s="30"/>
      <c r="G723" s="30"/>
      <c r="H723" s="33"/>
      <c r="I723" s="37"/>
      <c r="J723" s="664"/>
      <c r="K723" s="37"/>
      <c r="L723" s="30"/>
      <c r="M723" s="30"/>
      <c r="N723" s="30"/>
    </row>
    <row r="724" spans="2:14">
      <c r="B724" s="30"/>
      <c r="C724" s="30"/>
      <c r="G724" s="30"/>
      <c r="H724" s="33"/>
      <c r="I724" s="37"/>
      <c r="J724" s="664"/>
      <c r="K724" s="37"/>
      <c r="L724" s="30"/>
      <c r="M724" s="30"/>
      <c r="N724" s="30"/>
    </row>
    <row r="725" spans="2:14">
      <c r="B725" s="30"/>
      <c r="C725" s="30"/>
      <c r="G725" s="30"/>
      <c r="H725" s="33"/>
      <c r="I725" s="37"/>
      <c r="J725" s="664"/>
      <c r="K725" s="37"/>
      <c r="L725" s="30"/>
      <c r="M725" s="30"/>
      <c r="N725" s="30"/>
    </row>
    <row r="726" spans="2:14">
      <c r="B726" s="30"/>
      <c r="C726" s="30"/>
      <c r="G726" s="30"/>
      <c r="H726" s="33"/>
      <c r="I726" s="37"/>
      <c r="J726" s="664"/>
      <c r="K726" s="37"/>
      <c r="L726" s="30"/>
      <c r="M726" s="30"/>
      <c r="N726" s="30"/>
    </row>
    <row r="727" spans="2:14">
      <c r="B727" s="30"/>
      <c r="C727" s="30"/>
      <c r="G727" s="30"/>
      <c r="H727" s="33"/>
      <c r="I727" s="37"/>
      <c r="J727" s="664"/>
      <c r="K727" s="37"/>
      <c r="L727" s="30"/>
      <c r="M727" s="30"/>
      <c r="N727" s="30"/>
    </row>
    <row r="728" spans="2:14">
      <c r="B728" s="30"/>
      <c r="C728" s="30"/>
      <c r="G728" s="30"/>
      <c r="H728" s="33"/>
      <c r="I728" s="37"/>
      <c r="J728" s="664"/>
      <c r="K728" s="37"/>
      <c r="L728" s="30"/>
      <c r="M728" s="30"/>
      <c r="N728" s="30"/>
    </row>
    <row r="729" spans="2:14">
      <c r="B729" s="30"/>
      <c r="C729" s="30"/>
      <c r="G729" s="30"/>
      <c r="H729" s="33"/>
      <c r="I729" s="37"/>
      <c r="J729" s="664"/>
      <c r="K729" s="37"/>
      <c r="L729" s="30"/>
      <c r="M729" s="30"/>
      <c r="N729" s="30"/>
    </row>
    <row r="730" spans="2:14">
      <c r="B730" s="30"/>
      <c r="C730" s="30"/>
      <c r="G730" s="30"/>
      <c r="H730" s="33"/>
      <c r="I730" s="37"/>
      <c r="J730" s="664"/>
      <c r="K730" s="37"/>
      <c r="L730" s="30"/>
      <c r="M730" s="30"/>
      <c r="N730" s="30"/>
    </row>
    <row r="731" spans="2:14">
      <c r="B731" s="30"/>
      <c r="C731" s="30"/>
      <c r="G731" s="30"/>
      <c r="H731" s="33"/>
      <c r="I731" s="37"/>
      <c r="J731" s="664"/>
      <c r="K731" s="37"/>
      <c r="L731" s="30"/>
      <c r="M731" s="30"/>
      <c r="N731" s="30"/>
    </row>
    <row r="732" spans="2:14">
      <c r="B732" s="30"/>
      <c r="C732" s="30"/>
      <c r="G732" s="30"/>
      <c r="H732" s="33"/>
      <c r="I732" s="37"/>
      <c r="J732" s="664"/>
      <c r="K732" s="37"/>
      <c r="L732" s="30"/>
      <c r="M732" s="30"/>
      <c r="N732" s="30"/>
    </row>
    <row r="733" spans="2:14">
      <c r="B733" s="30"/>
      <c r="C733" s="30"/>
      <c r="G733" s="30"/>
      <c r="H733" s="33"/>
      <c r="I733" s="37"/>
      <c r="J733" s="664"/>
      <c r="K733" s="37"/>
      <c r="L733" s="30"/>
      <c r="M733" s="30"/>
      <c r="N733" s="30"/>
    </row>
    <row r="734" spans="2:14">
      <c r="B734" s="30"/>
      <c r="C734" s="30"/>
      <c r="G734" s="30"/>
      <c r="H734" s="33"/>
      <c r="I734" s="37"/>
      <c r="J734" s="664"/>
      <c r="K734" s="37"/>
      <c r="L734" s="30"/>
      <c r="M734" s="30"/>
      <c r="N734" s="30"/>
    </row>
    <row r="735" spans="2:14">
      <c r="B735" s="30"/>
      <c r="C735" s="30"/>
      <c r="G735" s="30"/>
      <c r="H735" s="33"/>
      <c r="I735" s="37"/>
      <c r="J735" s="664"/>
      <c r="K735" s="37"/>
      <c r="L735" s="30"/>
      <c r="M735" s="30"/>
      <c r="N735" s="30"/>
    </row>
    <row r="736" spans="2:14">
      <c r="B736" s="30"/>
      <c r="C736" s="30"/>
      <c r="G736" s="30"/>
      <c r="H736" s="33"/>
      <c r="I736" s="37"/>
      <c r="J736" s="664"/>
      <c r="K736" s="37"/>
      <c r="L736" s="30"/>
      <c r="M736" s="30"/>
      <c r="N736" s="30"/>
    </row>
    <row r="737" spans="2:14">
      <c r="B737" s="30"/>
      <c r="C737" s="30"/>
      <c r="G737" s="30"/>
      <c r="H737" s="33"/>
      <c r="I737" s="37"/>
      <c r="J737" s="664"/>
      <c r="K737" s="37"/>
      <c r="L737" s="30"/>
      <c r="M737" s="30"/>
      <c r="N737" s="30"/>
    </row>
    <row r="738" spans="2:14">
      <c r="B738" s="30"/>
      <c r="C738" s="30"/>
      <c r="G738" s="30"/>
      <c r="H738" s="33"/>
      <c r="I738" s="37"/>
      <c r="J738" s="664"/>
      <c r="K738" s="37"/>
      <c r="L738" s="30"/>
      <c r="M738" s="30"/>
      <c r="N738" s="30"/>
    </row>
    <row r="739" spans="2:14">
      <c r="B739" s="30"/>
      <c r="C739" s="30"/>
      <c r="G739" s="30"/>
      <c r="H739" s="33"/>
      <c r="I739" s="37"/>
      <c r="J739" s="664"/>
      <c r="K739" s="37"/>
      <c r="L739" s="30"/>
      <c r="M739" s="30"/>
      <c r="N739" s="30"/>
    </row>
    <row r="740" spans="2:14">
      <c r="B740" s="30"/>
      <c r="C740" s="30"/>
      <c r="G740" s="30"/>
      <c r="H740" s="33"/>
      <c r="I740" s="37"/>
      <c r="J740" s="664"/>
      <c r="K740" s="37"/>
      <c r="L740" s="30"/>
      <c r="M740" s="30"/>
      <c r="N740" s="30"/>
    </row>
    <row r="741" spans="2:14">
      <c r="B741" s="30"/>
      <c r="C741" s="30"/>
      <c r="G741" s="30"/>
      <c r="H741" s="33"/>
      <c r="I741" s="37"/>
      <c r="J741" s="664"/>
      <c r="K741" s="37"/>
      <c r="L741" s="30"/>
      <c r="M741" s="30"/>
      <c r="N741" s="30"/>
    </row>
    <row r="742" spans="2:14">
      <c r="B742" s="30"/>
      <c r="C742" s="30"/>
      <c r="G742" s="30"/>
      <c r="H742" s="33"/>
      <c r="I742" s="37"/>
      <c r="J742" s="664"/>
      <c r="K742" s="37"/>
      <c r="L742" s="30"/>
      <c r="M742" s="30"/>
      <c r="N742" s="30"/>
    </row>
    <row r="743" spans="2:14">
      <c r="B743" s="30"/>
      <c r="C743" s="30"/>
      <c r="G743" s="30"/>
      <c r="H743" s="33"/>
      <c r="I743" s="37"/>
      <c r="J743" s="664"/>
      <c r="K743" s="37"/>
      <c r="L743" s="30"/>
      <c r="M743" s="30"/>
      <c r="N743" s="30"/>
    </row>
    <row r="744" spans="2:14">
      <c r="B744" s="30"/>
      <c r="C744" s="30"/>
      <c r="G744" s="30"/>
      <c r="H744" s="33"/>
      <c r="I744" s="37"/>
      <c r="J744" s="664"/>
      <c r="K744" s="37"/>
      <c r="L744" s="30"/>
      <c r="M744" s="30"/>
      <c r="N744" s="30"/>
    </row>
    <row r="745" spans="2:14">
      <c r="B745" s="30"/>
      <c r="C745" s="30"/>
      <c r="G745" s="30"/>
      <c r="H745" s="33"/>
      <c r="I745" s="37"/>
      <c r="J745" s="664"/>
      <c r="K745" s="37"/>
      <c r="L745" s="30"/>
      <c r="M745" s="30"/>
      <c r="N745" s="30"/>
    </row>
    <row r="746" spans="2:14">
      <c r="B746" s="30"/>
      <c r="C746" s="30"/>
      <c r="G746" s="30"/>
      <c r="H746" s="33"/>
      <c r="I746" s="37"/>
      <c r="J746" s="664"/>
      <c r="K746" s="37"/>
      <c r="L746" s="30"/>
      <c r="M746" s="30"/>
      <c r="N746" s="30"/>
    </row>
    <row r="747" spans="2:14">
      <c r="B747" s="30"/>
      <c r="C747" s="30"/>
      <c r="G747" s="30"/>
      <c r="H747" s="33"/>
      <c r="I747" s="37"/>
      <c r="J747" s="664"/>
      <c r="K747" s="37"/>
      <c r="L747" s="30"/>
      <c r="M747" s="30"/>
      <c r="N747" s="30"/>
    </row>
    <row r="748" spans="2:14">
      <c r="B748" s="30"/>
      <c r="C748" s="30"/>
      <c r="G748" s="30"/>
      <c r="H748" s="33"/>
      <c r="I748" s="37"/>
      <c r="J748" s="664"/>
      <c r="K748" s="37"/>
      <c r="L748" s="30"/>
      <c r="M748" s="30"/>
      <c r="N748" s="30"/>
    </row>
    <row r="749" spans="2:14">
      <c r="B749" s="30"/>
      <c r="C749" s="30"/>
      <c r="G749" s="30"/>
      <c r="H749" s="33"/>
      <c r="I749" s="37"/>
      <c r="J749" s="664"/>
      <c r="K749" s="37"/>
      <c r="L749" s="30"/>
      <c r="M749" s="30"/>
      <c r="N749" s="30"/>
    </row>
    <row r="750" spans="2:14">
      <c r="B750" s="30"/>
      <c r="C750" s="30"/>
      <c r="G750" s="30"/>
      <c r="H750" s="33"/>
      <c r="I750" s="37"/>
      <c r="J750" s="664"/>
      <c r="K750" s="37"/>
      <c r="L750" s="30"/>
      <c r="M750" s="30"/>
      <c r="N750" s="30"/>
    </row>
    <row r="751" spans="2:14">
      <c r="B751" s="30"/>
      <c r="C751" s="30"/>
      <c r="G751" s="30"/>
      <c r="H751" s="33"/>
      <c r="I751" s="37"/>
      <c r="J751" s="664"/>
      <c r="K751" s="37"/>
      <c r="L751" s="30"/>
      <c r="M751" s="30"/>
      <c r="N751" s="30"/>
    </row>
  </sheetData>
  <mergeCells count="13">
    <mergeCell ref="L3:N3"/>
    <mergeCell ref="H3:H4"/>
    <mergeCell ref="I3:I4"/>
    <mergeCell ref="A3:B4"/>
    <mergeCell ref="C3:C4"/>
    <mergeCell ref="D3:F3"/>
    <mergeCell ref="G3:G4"/>
    <mergeCell ref="A7:A8"/>
    <mergeCell ref="A10:A12"/>
    <mergeCell ref="A1:K1"/>
    <mergeCell ref="A40:A41"/>
    <mergeCell ref="J3:J4"/>
    <mergeCell ref="K3:K4"/>
  </mergeCells>
  <hyperlinks>
    <hyperlink ref="D3" location="_ftn1" display="_ftn1"/>
  </hyperlinks>
  <pageMargins left="0.24" right="0.16" top="0.26" bottom="0.2" header="0.2" footer="0.2"/>
  <pageSetup paperSize="9" scale="95" orientation="landscape" verticalDpi="0" r:id="rId1"/>
  <ignoredErrors>
    <ignoredError sqref="D7:F8 A40:F40 A41:F41 A42:C43 A39:F39 D43 D30:F30 D31:F38 D16:K28 D14:F14 A9:G9 A15:K15 A14:C14 G14:K14 A29:K29 A16:C28 G40:K40 A31:C38 G31:K38 A30:C30 G30:K30 E43:F43 D42:F42 G41:K41 A11:K13 A10:I10 I43:K43 I9:K9" numberStoredAsText="1"/>
    <ignoredError sqref="L43 M43:N43 L20:N20 L12:N1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L45"/>
  <sheetViews>
    <sheetView workbookViewId="0">
      <selection activeCell="D11" sqref="D11"/>
    </sheetView>
  </sheetViews>
  <sheetFormatPr defaultRowHeight="15"/>
  <cols>
    <col min="1" max="1" width="4.28515625" customWidth="1"/>
    <col min="2" max="2" width="48" customWidth="1"/>
    <col min="3" max="3" width="21.42578125" customWidth="1"/>
    <col min="4" max="4" width="18.140625" customWidth="1"/>
    <col min="5" max="5" width="16.28515625" customWidth="1"/>
    <col min="6" max="6" width="17.42578125" customWidth="1"/>
    <col min="7" max="7" width="17" customWidth="1"/>
    <col min="8" max="8" width="11.140625" customWidth="1"/>
    <col min="9" max="9" width="42.140625" customWidth="1"/>
    <col min="10" max="10" width="13.5703125" customWidth="1"/>
    <col min="11" max="11" width="11.5703125" customWidth="1"/>
    <col min="258" max="258" width="46.85546875" customWidth="1"/>
    <col min="259" max="259" width="21.42578125" customWidth="1"/>
    <col min="260" max="260" width="18.140625" customWidth="1"/>
    <col min="261" max="261" width="14.5703125" customWidth="1"/>
    <col min="262" max="262" width="13.85546875" customWidth="1"/>
    <col min="263" max="263" width="15" customWidth="1"/>
    <col min="514" max="514" width="46.85546875" customWidth="1"/>
    <col min="515" max="515" width="21.42578125" customWidth="1"/>
    <col min="516" max="516" width="18.140625" customWidth="1"/>
    <col min="517" max="517" width="14.5703125" customWidth="1"/>
    <col min="518" max="518" width="13.85546875" customWidth="1"/>
    <col min="519" max="519" width="15" customWidth="1"/>
    <col min="770" max="770" width="46.85546875" customWidth="1"/>
    <col min="771" max="771" width="21.42578125" customWidth="1"/>
    <col min="772" max="772" width="18.140625" customWidth="1"/>
    <col min="773" max="773" width="14.5703125" customWidth="1"/>
    <col min="774" max="774" width="13.85546875" customWidth="1"/>
    <col min="775" max="775" width="15" customWidth="1"/>
    <col min="1026" max="1026" width="46.85546875" customWidth="1"/>
    <col min="1027" max="1027" width="21.42578125" customWidth="1"/>
    <col min="1028" max="1028" width="18.140625" customWidth="1"/>
    <col min="1029" max="1029" width="14.5703125" customWidth="1"/>
    <col min="1030" max="1030" width="13.85546875" customWidth="1"/>
    <col min="1031" max="1031" width="15" customWidth="1"/>
    <col min="1282" max="1282" width="46.85546875" customWidth="1"/>
    <col min="1283" max="1283" width="21.42578125" customWidth="1"/>
    <col min="1284" max="1284" width="18.140625" customWidth="1"/>
    <col min="1285" max="1285" width="14.5703125" customWidth="1"/>
    <col min="1286" max="1286" width="13.85546875" customWidth="1"/>
    <col min="1287" max="1287" width="15" customWidth="1"/>
    <col min="1538" max="1538" width="46.85546875" customWidth="1"/>
    <col min="1539" max="1539" width="21.42578125" customWidth="1"/>
    <col min="1540" max="1540" width="18.140625" customWidth="1"/>
    <col min="1541" max="1541" width="14.5703125" customWidth="1"/>
    <col min="1542" max="1542" width="13.85546875" customWidth="1"/>
    <col min="1543" max="1543" width="15" customWidth="1"/>
    <col min="1794" max="1794" width="46.85546875" customWidth="1"/>
    <col min="1795" max="1795" width="21.42578125" customWidth="1"/>
    <col min="1796" max="1796" width="18.140625" customWidth="1"/>
    <col min="1797" max="1797" width="14.5703125" customWidth="1"/>
    <col min="1798" max="1798" width="13.85546875" customWidth="1"/>
    <col min="1799" max="1799" width="15" customWidth="1"/>
    <col min="2050" max="2050" width="46.85546875" customWidth="1"/>
    <col min="2051" max="2051" width="21.42578125" customWidth="1"/>
    <col min="2052" max="2052" width="18.140625" customWidth="1"/>
    <col min="2053" max="2053" width="14.5703125" customWidth="1"/>
    <col min="2054" max="2054" width="13.85546875" customWidth="1"/>
    <col min="2055" max="2055" width="15" customWidth="1"/>
    <col min="2306" max="2306" width="46.85546875" customWidth="1"/>
    <col min="2307" max="2307" width="21.42578125" customWidth="1"/>
    <col min="2308" max="2308" width="18.140625" customWidth="1"/>
    <col min="2309" max="2309" width="14.5703125" customWidth="1"/>
    <col min="2310" max="2310" width="13.85546875" customWidth="1"/>
    <col min="2311" max="2311" width="15" customWidth="1"/>
    <col min="2562" max="2562" width="46.85546875" customWidth="1"/>
    <col min="2563" max="2563" width="21.42578125" customWidth="1"/>
    <col min="2564" max="2564" width="18.140625" customWidth="1"/>
    <col min="2565" max="2565" width="14.5703125" customWidth="1"/>
    <col min="2566" max="2566" width="13.85546875" customWidth="1"/>
    <col min="2567" max="2567" width="15" customWidth="1"/>
    <col min="2818" max="2818" width="46.85546875" customWidth="1"/>
    <col min="2819" max="2819" width="21.42578125" customWidth="1"/>
    <col min="2820" max="2820" width="18.140625" customWidth="1"/>
    <col min="2821" max="2821" width="14.5703125" customWidth="1"/>
    <col min="2822" max="2822" width="13.85546875" customWidth="1"/>
    <col min="2823" max="2823" width="15" customWidth="1"/>
    <col min="3074" max="3074" width="46.85546875" customWidth="1"/>
    <col min="3075" max="3075" width="21.42578125" customWidth="1"/>
    <col min="3076" max="3076" width="18.140625" customWidth="1"/>
    <col min="3077" max="3077" width="14.5703125" customWidth="1"/>
    <col min="3078" max="3078" width="13.85546875" customWidth="1"/>
    <col min="3079" max="3079" width="15" customWidth="1"/>
    <col min="3330" max="3330" width="46.85546875" customWidth="1"/>
    <col min="3331" max="3331" width="21.42578125" customWidth="1"/>
    <col min="3332" max="3332" width="18.140625" customWidth="1"/>
    <col min="3333" max="3333" width="14.5703125" customWidth="1"/>
    <col min="3334" max="3334" width="13.85546875" customWidth="1"/>
    <col min="3335" max="3335" width="15" customWidth="1"/>
    <col min="3586" max="3586" width="46.85546875" customWidth="1"/>
    <col min="3587" max="3587" width="21.42578125" customWidth="1"/>
    <col min="3588" max="3588" width="18.140625" customWidth="1"/>
    <col min="3589" max="3589" width="14.5703125" customWidth="1"/>
    <col min="3590" max="3590" width="13.85546875" customWidth="1"/>
    <col min="3591" max="3591" width="15" customWidth="1"/>
    <col min="3842" max="3842" width="46.85546875" customWidth="1"/>
    <col min="3843" max="3843" width="21.42578125" customWidth="1"/>
    <col min="3844" max="3844" width="18.140625" customWidth="1"/>
    <col min="3845" max="3845" width="14.5703125" customWidth="1"/>
    <col min="3846" max="3846" width="13.85546875" customWidth="1"/>
    <col min="3847" max="3847" width="15" customWidth="1"/>
    <col min="4098" max="4098" width="46.85546875" customWidth="1"/>
    <col min="4099" max="4099" width="21.42578125" customWidth="1"/>
    <col min="4100" max="4100" width="18.140625" customWidth="1"/>
    <col min="4101" max="4101" width="14.5703125" customWidth="1"/>
    <col min="4102" max="4102" width="13.85546875" customWidth="1"/>
    <col min="4103" max="4103" width="15" customWidth="1"/>
    <col min="4354" max="4354" width="46.85546875" customWidth="1"/>
    <col min="4355" max="4355" width="21.42578125" customWidth="1"/>
    <col min="4356" max="4356" width="18.140625" customWidth="1"/>
    <col min="4357" max="4357" width="14.5703125" customWidth="1"/>
    <col min="4358" max="4358" width="13.85546875" customWidth="1"/>
    <col min="4359" max="4359" width="15" customWidth="1"/>
    <col min="4610" max="4610" width="46.85546875" customWidth="1"/>
    <col min="4611" max="4611" width="21.42578125" customWidth="1"/>
    <col min="4612" max="4612" width="18.140625" customWidth="1"/>
    <col min="4613" max="4613" width="14.5703125" customWidth="1"/>
    <col min="4614" max="4614" width="13.85546875" customWidth="1"/>
    <col min="4615" max="4615" width="15" customWidth="1"/>
    <col min="4866" max="4866" width="46.85546875" customWidth="1"/>
    <col min="4867" max="4867" width="21.42578125" customWidth="1"/>
    <col min="4868" max="4868" width="18.140625" customWidth="1"/>
    <col min="4869" max="4869" width="14.5703125" customWidth="1"/>
    <col min="4870" max="4870" width="13.85546875" customWidth="1"/>
    <col min="4871" max="4871" width="15" customWidth="1"/>
    <col min="5122" max="5122" width="46.85546875" customWidth="1"/>
    <col min="5123" max="5123" width="21.42578125" customWidth="1"/>
    <col min="5124" max="5124" width="18.140625" customWidth="1"/>
    <col min="5125" max="5125" width="14.5703125" customWidth="1"/>
    <col min="5126" max="5126" width="13.85546875" customWidth="1"/>
    <col min="5127" max="5127" width="15" customWidth="1"/>
    <col min="5378" max="5378" width="46.85546875" customWidth="1"/>
    <col min="5379" max="5379" width="21.42578125" customWidth="1"/>
    <col min="5380" max="5380" width="18.140625" customWidth="1"/>
    <col min="5381" max="5381" width="14.5703125" customWidth="1"/>
    <col min="5382" max="5382" width="13.85546875" customWidth="1"/>
    <col min="5383" max="5383" width="15" customWidth="1"/>
    <col min="5634" max="5634" width="46.85546875" customWidth="1"/>
    <col min="5635" max="5635" width="21.42578125" customWidth="1"/>
    <col min="5636" max="5636" width="18.140625" customWidth="1"/>
    <col min="5637" max="5637" width="14.5703125" customWidth="1"/>
    <col min="5638" max="5638" width="13.85546875" customWidth="1"/>
    <col min="5639" max="5639" width="15" customWidth="1"/>
    <col min="5890" max="5890" width="46.85546875" customWidth="1"/>
    <col min="5891" max="5891" width="21.42578125" customWidth="1"/>
    <col min="5892" max="5892" width="18.140625" customWidth="1"/>
    <col min="5893" max="5893" width="14.5703125" customWidth="1"/>
    <col min="5894" max="5894" width="13.85546875" customWidth="1"/>
    <col min="5895" max="5895" width="15" customWidth="1"/>
    <col min="6146" max="6146" width="46.85546875" customWidth="1"/>
    <col min="6147" max="6147" width="21.42578125" customWidth="1"/>
    <col min="6148" max="6148" width="18.140625" customWidth="1"/>
    <col min="6149" max="6149" width="14.5703125" customWidth="1"/>
    <col min="6150" max="6150" width="13.85546875" customWidth="1"/>
    <col min="6151" max="6151" width="15" customWidth="1"/>
    <col min="6402" max="6402" width="46.85546875" customWidth="1"/>
    <col min="6403" max="6403" width="21.42578125" customWidth="1"/>
    <col min="6404" max="6404" width="18.140625" customWidth="1"/>
    <col min="6405" max="6405" width="14.5703125" customWidth="1"/>
    <col min="6406" max="6406" width="13.85546875" customWidth="1"/>
    <col min="6407" max="6407" width="15" customWidth="1"/>
    <col min="6658" max="6658" width="46.85546875" customWidth="1"/>
    <col min="6659" max="6659" width="21.42578125" customWidth="1"/>
    <col min="6660" max="6660" width="18.140625" customWidth="1"/>
    <col min="6661" max="6661" width="14.5703125" customWidth="1"/>
    <col min="6662" max="6662" width="13.85546875" customWidth="1"/>
    <col min="6663" max="6663" width="15" customWidth="1"/>
    <col min="6914" max="6914" width="46.85546875" customWidth="1"/>
    <col min="6915" max="6915" width="21.42578125" customWidth="1"/>
    <col min="6916" max="6916" width="18.140625" customWidth="1"/>
    <col min="6917" max="6917" width="14.5703125" customWidth="1"/>
    <col min="6918" max="6918" width="13.85546875" customWidth="1"/>
    <col min="6919" max="6919" width="15" customWidth="1"/>
    <col min="7170" max="7170" width="46.85546875" customWidth="1"/>
    <col min="7171" max="7171" width="21.42578125" customWidth="1"/>
    <col min="7172" max="7172" width="18.140625" customWidth="1"/>
    <col min="7173" max="7173" width="14.5703125" customWidth="1"/>
    <col min="7174" max="7174" width="13.85546875" customWidth="1"/>
    <col min="7175" max="7175" width="15" customWidth="1"/>
    <col min="7426" max="7426" width="46.85546875" customWidth="1"/>
    <col min="7427" max="7427" width="21.42578125" customWidth="1"/>
    <col min="7428" max="7428" width="18.140625" customWidth="1"/>
    <col min="7429" max="7429" width="14.5703125" customWidth="1"/>
    <col min="7430" max="7430" width="13.85546875" customWidth="1"/>
    <col min="7431" max="7431" width="15" customWidth="1"/>
    <col min="7682" max="7682" width="46.85546875" customWidth="1"/>
    <col min="7683" max="7683" width="21.42578125" customWidth="1"/>
    <col min="7684" max="7684" width="18.140625" customWidth="1"/>
    <col min="7685" max="7685" width="14.5703125" customWidth="1"/>
    <col min="7686" max="7686" width="13.85546875" customWidth="1"/>
    <col min="7687" max="7687" width="15" customWidth="1"/>
    <col min="7938" max="7938" width="46.85546875" customWidth="1"/>
    <col min="7939" max="7939" width="21.42578125" customWidth="1"/>
    <col min="7940" max="7940" width="18.140625" customWidth="1"/>
    <col min="7941" max="7941" width="14.5703125" customWidth="1"/>
    <col min="7942" max="7942" width="13.85546875" customWidth="1"/>
    <col min="7943" max="7943" width="15" customWidth="1"/>
    <col min="8194" max="8194" width="46.85546875" customWidth="1"/>
    <col min="8195" max="8195" width="21.42578125" customWidth="1"/>
    <col min="8196" max="8196" width="18.140625" customWidth="1"/>
    <col min="8197" max="8197" width="14.5703125" customWidth="1"/>
    <col min="8198" max="8198" width="13.85546875" customWidth="1"/>
    <col min="8199" max="8199" width="15" customWidth="1"/>
    <col min="8450" max="8450" width="46.85546875" customWidth="1"/>
    <col min="8451" max="8451" width="21.42578125" customWidth="1"/>
    <col min="8452" max="8452" width="18.140625" customWidth="1"/>
    <col min="8453" max="8453" width="14.5703125" customWidth="1"/>
    <col min="8454" max="8454" width="13.85546875" customWidth="1"/>
    <col min="8455" max="8455" width="15" customWidth="1"/>
    <col min="8706" max="8706" width="46.85546875" customWidth="1"/>
    <col min="8707" max="8707" width="21.42578125" customWidth="1"/>
    <col min="8708" max="8708" width="18.140625" customWidth="1"/>
    <col min="8709" max="8709" width="14.5703125" customWidth="1"/>
    <col min="8710" max="8710" width="13.85546875" customWidth="1"/>
    <col min="8711" max="8711" width="15" customWidth="1"/>
    <col min="8962" max="8962" width="46.85546875" customWidth="1"/>
    <col min="8963" max="8963" width="21.42578125" customWidth="1"/>
    <col min="8964" max="8964" width="18.140625" customWidth="1"/>
    <col min="8965" max="8965" width="14.5703125" customWidth="1"/>
    <col min="8966" max="8966" width="13.85546875" customWidth="1"/>
    <col min="8967" max="8967" width="15" customWidth="1"/>
    <col min="9218" max="9218" width="46.85546875" customWidth="1"/>
    <col min="9219" max="9219" width="21.42578125" customWidth="1"/>
    <col min="9220" max="9220" width="18.140625" customWidth="1"/>
    <col min="9221" max="9221" width="14.5703125" customWidth="1"/>
    <col min="9222" max="9222" width="13.85546875" customWidth="1"/>
    <col min="9223" max="9223" width="15" customWidth="1"/>
    <col min="9474" max="9474" width="46.85546875" customWidth="1"/>
    <col min="9475" max="9475" width="21.42578125" customWidth="1"/>
    <col min="9476" max="9476" width="18.140625" customWidth="1"/>
    <col min="9477" max="9477" width="14.5703125" customWidth="1"/>
    <col min="9478" max="9478" width="13.85546875" customWidth="1"/>
    <col min="9479" max="9479" width="15" customWidth="1"/>
    <col min="9730" max="9730" width="46.85546875" customWidth="1"/>
    <col min="9731" max="9731" width="21.42578125" customWidth="1"/>
    <col min="9732" max="9732" width="18.140625" customWidth="1"/>
    <col min="9733" max="9733" width="14.5703125" customWidth="1"/>
    <col min="9734" max="9734" width="13.85546875" customWidth="1"/>
    <col min="9735" max="9735" width="15" customWidth="1"/>
    <col min="9986" max="9986" width="46.85546875" customWidth="1"/>
    <col min="9987" max="9987" width="21.42578125" customWidth="1"/>
    <col min="9988" max="9988" width="18.140625" customWidth="1"/>
    <col min="9989" max="9989" width="14.5703125" customWidth="1"/>
    <col min="9990" max="9990" width="13.85546875" customWidth="1"/>
    <col min="9991" max="9991" width="15" customWidth="1"/>
    <col min="10242" max="10242" width="46.85546875" customWidth="1"/>
    <col min="10243" max="10243" width="21.42578125" customWidth="1"/>
    <col min="10244" max="10244" width="18.140625" customWidth="1"/>
    <col min="10245" max="10245" width="14.5703125" customWidth="1"/>
    <col min="10246" max="10246" width="13.85546875" customWidth="1"/>
    <col min="10247" max="10247" width="15" customWidth="1"/>
    <col min="10498" max="10498" width="46.85546875" customWidth="1"/>
    <col min="10499" max="10499" width="21.42578125" customWidth="1"/>
    <col min="10500" max="10500" width="18.140625" customWidth="1"/>
    <col min="10501" max="10501" width="14.5703125" customWidth="1"/>
    <col min="10502" max="10502" width="13.85546875" customWidth="1"/>
    <col min="10503" max="10503" width="15" customWidth="1"/>
    <col min="10754" max="10754" width="46.85546875" customWidth="1"/>
    <col min="10755" max="10755" width="21.42578125" customWidth="1"/>
    <col min="10756" max="10756" width="18.140625" customWidth="1"/>
    <col min="10757" max="10757" width="14.5703125" customWidth="1"/>
    <col min="10758" max="10758" width="13.85546875" customWidth="1"/>
    <col min="10759" max="10759" width="15" customWidth="1"/>
    <col min="11010" max="11010" width="46.85546875" customWidth="1"/>
    <col min="11011" max="11011" width="21.42578125" customWidth="1"/>
    <col min="11012" max="11012" width="18.140625" customWidth="1"/>
    <col min="11013" max="11013" width="14.5703125" customWidth="1"/>
    <col min="11014" max="11014" width="13.85546875" customWidth="1"/>
    <col min="11015" max="11015" width="15" customWidth="1"/>
    <col min="11266" max="11266" width="46.85546875" customWidth="1"/>
    <col min="11267" max="11267" width="21.42578125" customWidth="1"/>
    <col min="11268" max="11268" width="18.140625" customWidth="1"/>
    <col min="11269" max="11269" width="14.5703125" customWidth="1"/>
    <col min="11270" max="11270" width="13.85546875" customWidth="1"/>
    <col min="11271" max="11271" width="15" customWidth="1"/>
    <col min="11522" max="11522" width="46.85546875" customWidth="1"/>
    <col min="11523" max="11523" width="21.42578125" customWidth="1"/>
    <col min="11524" max="11524" width="18.140625" customWidth="1"/>
    <col min="11525" max="11525" width="14.5703125" customWidth="1"/>
    <col min="11526" max="11526" width="13.85546875" customWidth="1"/>
    <col min="11527" max="11527" width="15" customWidth="1"/>
    <col min="11778" max="11778" width="46.85546875" customWidth="1"/>
    <col min="11779" max="11779" width="21.42578125" customWidth="1"/>
    <col min="11780" max="11780" width="18.140625" customWidth="1"/>
    <col min="11781" max="11781" width="14.5703125" customWidth="1"/>
    <col min="11782" max="11782" width="13.85546875" customWidth="1"/>
    <col min="11783" max="11783" width="15" customWidth="1"/>
    <col min="12034" max="12034" width="46.85546875" customWidth="1"/>
    <col min="12035" max="12035" width="21.42578125" customWidth="1"/>
    <col min="12036" max="12036" width="18.140625" customWidth="1"/>
    <col min="12037" max="12037" width="14.5703125" customWidth="1"/>
    <col min="12038" max="12038" width="13.85546875" customWidth="1"/>
    <col min="12039" max="12039" width="15" customWidth="1"/>
    <col min="12290" max="12290" width="46.85546875" customWidth="1"/>
    <col min="12291" max="12291" width="21.42578125" customWidth="1"/>
    <col min="12292" max="12292" width="18.140625" customWidth="1"/>
    <col min="12293" max="12293" width="14.5703125" customWidth="1"/>
    <col min="12294" max="12294" width="13.85546875" customWidth="1"/>
    <col min="12295" max="12295" width="15" customWidth="1"/>
    <col min="12546" max="12546" width="46.85546875" customWidth="1"/>
    <col min="12547" max="12547" width="21.42578125" customWidth="1"/>
    <col min="12548" max="12548" width="18.140625" customWidth="1"/>
    <col min="12549" max="12549" width="14.5703125" customWidth="1"/>
    <col min="12550" max="12550" width="13.85546875" customWidth="1"/>
    <col min="12551" max="12551" width="15" customWidth="1"/>
    <col min="12802" max="12802" width="46.85546875" customWidth="1"/>
    <col min="12803" max="12803" width="21.42578125" customWidth="1"/>
    <col min="12804" max="12804" width="18.140625" customWidth="1"/>
    <col min="12805" max="12805" width="14.5703125" customWidth="1"/>
    <col min="12806" max="12806" width="13.85546875" customWidth="1"/>
    <col min="12807" max="12807" width="15" customWidth="1"/>
    <col min="13058" max="13058" width="46.85546875" customWidth="1"/>
    <col min="13059" max="13059" width="21.42578125" customWidth="1"/>
    <col min="13060" max="13060" width="18.140625" customWidth="1"/>
    <col min="13061" max="13061" width="14.5703125" customWidth="1"/>
    <col min="13062" max="13062" width="13.85546875" customWidth="1"/>
    <col min="13063" max="13063" width="15" customWidth="1"/>
    <col min="13314" max="13314" width="46.85546875" customWidth="1"/>
    <col min="13315" max="13315" width="21.42578125" customWidth="1"/>
    <col min="13316" max="13316" width="18.140625" customWidth="1"/>
    <col min="13317" max="13317" width="14.5703125" customWidth="1"/>
    <col min="13318" max="13318" width="13.85546875" customWidth="1"/>
    <col min="13319" max="13319" width="15" customWidth="1"/>
    <col min="13570" max="13570" width="46.85546875" customWidth="1"/>
    <col min="13571" max="13571" width="21.42578125" customWidth="1"/>
    <col min="13572" max="13572" width="18.140625" customWidth="1"/>
    <col min="13573" max="13573" width="14.5703125" customWidth="1"/>
    <col min="13574" max="13574" width="13.85546875" customWidth="1"/>
    <col min="13575" max="13575" width="15" customWidth="1"/>
    <col min="13826" max="13826" width="46.85546875" customWidth="1"/>
    <col min="13827" max="13827" width="21.42578125" customWidth="1"/>
    <col min="13828" max="13828" width="18.140625" customWidth="1"/>
    <col min="13829" max="13829" width="14.5703125" customWidth="1"/>
    <col min="13830" max="13830" width="13.85546875" customWidth="1"/>
    <col min="13831" max="13831" width="15" customWidth="1"/>
    <col min="14082" max="14082" width="46.85546875" customWidth="1"/>
    <col min="14083" max="14083" width="21.42578125" customWidth="1"/>
    <col min="14084" max="14084" width="18.140625" customWidth="1"/>
    <col min="14085" max="14085" width="14.5703125" customWidth="1"/>
    <col min="14086" max="14086" width="13.85546875" customWidth="1"/>
    <col min="14087" max="14087" width="15" customWidth="1"/>
    <col min="14338" max="14338" width="46.85546875" customWidth="1"/>
    <col min="14339" max="14339" width="21.42578125" customWidth="1"/>
    <col min="14340" max="14340" width="18.140625" customWidth="1"/>
    <col min="14341" max="14341" width="14.5703125" customWidth="1"/>
    <col min="14342" max="14342" width="13.85546875" customWidth="1"/>
    <col min="14343" max="14343" width="15" customWidth="1"/>
    <col min="14594" max="14594" width="46.85546875" customWidth="1"/>
    <col min="14595" max="14595" width="21.42578125" customWidth="1"/>
    <col min="14596" max="14596" width="18.140625" customWidth="1"/>
    <col min="14597" max="14597" width="14.5703125" customWidth="1"/>
    <col min="14598" max="14598" width="13.85546875" customWidth="1"/>
    <col min="14599" max="14599" width="15" customWidth="1"/>
    <col min="14850" max="14850" width="46.85546875" customWidth="1"/>
    <col min="14851" max="14851" width="21.42578125" customWidth="1"/>
    <col min="14852" max="14852" width="18.140625" customWidth="1"/>
    <col min="14853" max="14853" width="14.5703125" customWidth="1"/>
    <col min="14854" max="14854" width="13.85546875" customWidth="1"/>
    <col min="14855" max="14855" width="15" customWidth="1"/>
    <col min="15106" max="15106" width="46.85546875" customWidth="1"/>
    <col min="15107" max="15107" width="21.42578125" customWidth="1"/>
    <col min="15108" max="15108" width="18.140625" customWidth="1"/>
    <col min="15109" max="15109" width="14.5703125" customWidth="1"/>
    <col min="15110" max="15110" width="13.85546875" customWidth="1"/>
    <col min="15111" max="15111" width="15" customWidth="1"/>
    <col min="15362" max="15362" width="46.85546875" customWidth="1"/>
    <col min="15363" max="15363" width="21.42578125" customWidth="1"/>
    <col min="15364" max="15364" width="18.140625" customWidth="1"/>
    <col min="15365" max="15365" width="14.5703125" customWidth="1"/>
    <col min="15366" max="15366" width="13.85546875" customWidth="1"/>
    <col min="15367" max="15367" width="15" customWidth="1"/>
    <col min="15618" max="15618" width="46.85546875" customWidth="1"/>
    <col min="15619" max="15619" width="21.42578125" customWidth="1"/>
    <col min="15620" max="15620" width="18.140625" customWidth="1"/>
    <col min="15621" max="15621" width="14.5703125" customWidth="1"/>
    <col min="15622" max="15622" width="13.85546875" customWidth="1"/>
    <col min="15623" max="15623" width="15" customWidth="1"/>
    <col min="15874" max="15874" width="46.85546875" customWidth="1"/>
    <col min="15875" max="15875" width="21.42578125" customWidth="1"/>
    <col min="15876" max="15876" width="18.140625" customWidth="1"/>
    <col min="15877" max="15877" width="14.5703125" customWidth="1"/>
    <col min="15878" max="15878" width="13.85546875" customWidth="1"/>
    <col min="15879" max="15879" width="15" customWidth="1"/>
    <col min="16130" max="16130" width="46.85546875" customWidth="1"/>
    <col min="16131" max="16131" width="21.42578125" customWidth="1"/>
    <col min="16132" max="16132" width="18.140625" customWidth="1"/>
    <col min="16133" max="16133" width="14.5703125" customWidth="1"/>
    <col min="16134" max="16134" width="13.85546875" customWidth="1"/>
    <col min="16135" max="16135" width="15" customWidth="1"/>
  </cols>
  <sheetData>
    <row r="1" spans="2:12" ht="43.5" customHeight="1">
      <c r="B1" s="1849" t="s">
        <v>42</v>
      </c>
      <c r="C1" s="1849"/>
      <c r="D1" s="1849"/>
      <c r="E1" s="1849"/>
      <c r="F1" s="1849"/>
      <c r="G1" s="1849"/>
    </row>
    <row r="2" spans="2:12" ht="15.75" thickBot="1">
      <c r="G2" s="31" t="s">
        <v>66</v>
      </c>
    </row>
    <row r="3" spans="2:12">
      <c r="B3" s="1845" t="s">
        <v>43</v>
      </c>
      <c r="C3" s="1847" t="s">
        <v>311</v>
      </c>
      <c r="D3" s="1847" t="s">
        <v>211</v>
      </c>
      <c r="E3" s="1847" t="s">
        <v>44</v>
      </c>
      <c r="F3" s="1847"/>
      <c r="G3" s="1850"/>
    </row>
    <row r="4" spans="2:12" ht="42" customHeight="1">
      <c r="B4" s="1846"/>
      <c r="C4" s="1848"/>
      <c r="D4" s="1848"/>
      <c r="E4" s="977" t="s">
        <v>2</v>
      </c>
      <c r="F4" s="977" t="s">
        <v>3</v>
      </c>
      <c r="G4" s="981" t="s">
        <v>207</v>
      </c>
    </row>
    <row r="5" spans="2:12" ht="16.5">
      <c r="B5" s="982" t="s">
        <v>45</v>
      </c>
      <c r="C5" s="978">
        <f>+C7+C21</f>
        <v>1885000.9</v>
      </c>
      <c r="D5" s="978">
        <f>+D7+D21</f>
        <v>1495989.6</v>
      </c>
      <c r="E5" s="978">
        <f>+E7+E21</f>
        <v>1387457.6</v>
      </c>
      <c r="F5" s="978">
        <f>+F7+F21</f>
        <v>1423859.6</v>
      </c>
      <c r="G5" s="983">
        <f>+G7+G21</f>
        <v>1397939.6</v>
      </c>
    </row>
    <row r="6" spans="2:12">
      <c r="B6" s="984" t="s">
        <v>46</v>
      </c>
      <c r="C6" s="979"/>
      <c r="D6" s="979"/>
      <c r="E6" s="979"/>
      <c r="F6" s="979"/>
      <c r="G6" s="985"/>
    </row>
    <row r="7" spans="2:12" ht="38.25" customHeight="1">
      <c r="B7" s="986" t="s">
        <v>47</v>
      </c>
      <c r="C7" s="980">
        <f>SUM(C8:C20)</f>
        <v>1326953.2</v>
      </c>
      <c r="D7" s="980">
        <f>SUM(D8:D20)</f>
        <v>931120.3</v>
      </c>
      <c r="E7" s="980">
        <f>SUM(E8:E20)</f>
        <v>922294</v>
      </c>
      <c r="F7" s="980">
        <f>SUM(F8:F20)</f>
        <v>958696</v>
      </c>
      <c r="G7" s="987">
        <f>SUM(G8:G20)</f>
        <v>921896</v>
      </c>
      <c r="I7" s="621"/>
      <c r="J7" s="621"/>
      <c r="K7" s="621"/>
      <c r="L7" s="621"/>
    </row>
    <row r="8" spans="2:12" ht="17.25">
      <c r="B8" s="21" t="s">
        <v>48</v>
      </c>
      <c r="C8" s="769">
        <v>192854.80000000002</v>
      </c>
      <c r="D8" s="769">
        <v>242126.2</v>
      </c>
      <c r="E8" s="769">
        <v>242126.2</v>
      </c>
      <c r="F8" s="769">
        <v>242126.2</v>
      </c>
      <c r="G8" s="770">
        <v>242126.2</v>
      </c>
      <c r="I8" s="647"/>
      <c r="J8" s="648"/>
      <c r="K8" s="648"/>
      <c r="L8" s="621"/>
    </row>
    <row r="9" spans="2:12" ht="17.25">
      <c r="B9" s="21" t="s">
        <v>49</v>
      </c>
      <c r="C9" s="769">
        <v>98046.9</v>
      </c>
      <c r="D9" s="769">
        <v>92819.8</v>
      </c>
      <c r="E9" s="769">
        <v>85000</v>
      </c>
      <c r="F9" s="769">
        <v>85000</v>
      </c>
      <c r="G9" s="770">
        <v>85000</v>
      </c>
      <c r="I9" s="649"/>
      <c r="J9" s="648"/>
      <c r="K9" s="648"/>
      <c r="L9" s="621"/>
    </row>
    <row r="10" spans="2:12" ht="17.25">
      <c r="B10" s="21" t="s">
        <v>50</v>
      </c>
      <c r="C10" s="769">
        <v>20847.399999999998</v>
      </c>
      <c r="D10" s="769">
        <v>27777.3</v>
      </c>
      <c r="E10" s="769">
        <v>27777.3</v>
      </c>
      <c r="F10" s="769">
        <v>27777.3</v>
      </c>
      <c r="G10" s="770">
        <v>27777.3</v>
      </c>
      <c r="I10" s="649"/>
      <c r="J10" s="648"/>
      <c r="K10" s="648"/>
      <c r="L10" s="621"/>
    </row>
    <row r="11" spans="2:12" ht="17.25">
      <c r="B11" s="21" t="s">
        <v>51</v>
      </c>
      <c r="C11" s="769">
        <v>4620.2</v>
      </c>
      <c r="D11" s="769">
        <v>4000</v>
      </c>
      <c r="E11" s="769">
        <v>40000</v>
      </c>
      <c r="F11" s="769">
        <v>40000</v>
      </c>
      <c r="G11" s="770">
        <v>40000</v>
      </c>
      <c r="I11" s="647"/>
      <c r="J11" s="648"/>
      <c r="K11" s="648"/>
      <c r="L11" s="621"/>
    </row>
    <row r="12" spans="2:12" ht="17.25">
      <c r="B12" s="21" t="s">
        <v>52</v>
      </c>
      <c r="C12" s="769">
        <v>7122</v>
      </c>
      <c r="D12" s="769">
        <v>8500</v>
      </c>
      <c r="E12" s="769">
        <v>8500</v>
      </c>
      <c r="F12" s="769">
        <v>8500</v>
      </c>
      <c r="G12" s="770">
        <v>8500</v>
      </c>
      <c r="I12" s="649"/>
      <c r="J12" s="650"/>
      <c r="K12" s="650"/>
      <c r="L12" s="621"/>
    </row>
    <row r="13" spans="2:12" s="23" customFormat="1" ht="17.25">
      <c r="B13" s="21" t="s">
        <v>53</v>
      </c>
      <c r="C13" s="769">
        <v>619.4</v>
      </c>
      <c r="D13" s="769">
        <v>5200</v>
      </c>
      <c r="E13" s="769">
        <v>5200</v>
      </c>
      <c r="F13" s="769">
        <v>5200</v>
      </c>
      <c r="G13" s="770">
        <v>5200</v>
      </c>
      <c r="I13" s="651"/>
      <c r="J13" s="650"/>
      <c r="K13" s="650"/>
      <c r="L13" s="652"/>
    </row>
    <row r="14" spans="2:12" s="23" customFormat="1" ht="17.25">
      <c r="B14" s="21" t="s">
        <v>54</v>
      </c>
      <c r="C14" s="769">
        <v>5032.8</v>
      </c>
      <c r="D14" s="769">
        <v>5500</v>
      </c>
      <c r="E14" s="769">
        <v>5500</v>
      </c>
      <c r="F14" s="769">
        <v>5500</v>
      </c>
      <c r="G14" s="770">
        <v>5500</v>
      </c>
      <c r="I14" s="647"/>
      <c r="J14" s="648"/>
      <c r="K14" s="648"/>
      <c r="L14" s="652"/>
    </row>
    <row r="15" spans="2:12" ht="27">
      <c r="B15" s="21" t="s">
        <v>55</v>
      </c>
      <c r="C15" s="769">
        <v>108886.50000000001</v>
      </c>
      <c r="D15" s="769">
        <v>95362.5</v>
      </c>
      <c r="E15" s="769">
        <v>59598</v>
      </c>
      <c r="F15" s="769">
        <v>96000</v>
      </c>
      <c r="G15" s="770">
        <v>59200</v>
      </c>
      <c r="I15" s="621"/>
      <c r="J15" s="621"/>
      <c r="K15" s="621"/>
      <c r="L15" s="621"/>
    </row>
    <row r="16" spans="2:12" ht="27">
      <c r="B16" s="21" t="s">
        <v>56</v>
      </c>
      <c r="C16" s="769">
        <v>4906.3</v>
      </c>
      <c r="D16" s="769">
        <v>4800</v>
      </c>
      <c r="E16" s="769">
        <v>4800</v>
      </c>
      <c r="F16" s="769">
        <v>4800</v>
      </c>
      <c r="G16" s="770">
        <v>4800</v>
      </c>
    </row>
    <row r="17" spans="2:11" s="23" customFormat="1">
      <c r="B17" s="21" t="s">
        <v>57</v>
      </c>
      <c r="C17" s="769">
        <v>698082.7</v>
      </c>
      <c r="D17" s="769">
        <v>275000</v>
      </c>
      <c r="E17" s="769">
        <v>275000</v>
      </c>
      <c r="F17" s="769">
        <v>275000</v>
      </c>
      <c r="G17" s="770">
        <v>275000</v>
      </c>
      <c r="H17"/>
      <c r="I17"/>
      <c r="J17"/>
      <c r="K17"/>
    </row>
    <row r="18" spans="2:11">
      <c r="B18" s="21" t="s">
        <v>58</v>
      </c>
      <c r="C18" s="769">
        <v>16100</v>
      </c>
      <c r="D18" s="769">
        <v>1242</v>
      </c>
      <c r="E18" s="769">
        <v>0</v>
      </c>
      <c r="F18" s="769">
        <v>0</v>
      </c>
      <c r="G18" s="770">
        <v>0</v>
      </c>
    </row>
    <row r="19" spans="2:11" s="23" customFormat="1">
      <c r="B19" s="21" t="s">
        <v>59</v>
      </c>
      <c r="C19" s="769">
        <v>151351.5</v>
      </c>
      <c r="D19" s="769">
        <v>147792.5</v>
      </c>
      <c r="E19" s="769">
        <v>147792.5</v>
      </c>
      <c r="F19" s="769">
        <v>147792.5</v>
      </c>
      <c r="G19" s="770">
        <v>147792.5</v>
      </c>
      <c r="H19"/>
      <c r="I19"/>
      <c r="J19"/>
      <c r="K19"/>
    </row>
    <row r="20" spans="2:11" ht="14.25" customHeight="1" thickBot="1">
      <c r="B20" s="24" t="s">
        <v>60</v>
      </c>
      <c r="C20" s="771">
        <v>18482.7</v>
      </c>
      <c r="D20" s="771">
        <v>21000</v>
      </c>
      <c r="E20" s="771">
        <v>21000</v>
      </c>
      <c r="F20" s="771">
        <v>21000</v>
      </c>
      <c r="G20" s="772">
        <v>21000</v>
      </c>
    </row>
    <row r="21" spans="2:11" ht="16.5" customHeight="1">
      <c r="B21" s="653" t="s">
        <v>61</v>
      </c>
      <c r="C21" s="773">
        <f>+C23+C31+C34+C36+C38+C40+C42</f>
        <v>558047.69999999995</v>
      </c>
      <c r="D21" s="773">
        <f>+D23+D31+D34+D36+D38+D40+D42</f>
        <v>564869.30000000005</v>
      </c>
      <c r="E21" s="773">
        <f>+E23+E31+E34+E36+E38+E40+E42</f>
        <v>465163.6</v>
      </c>
      <c r="F21" s="773">
        <f>+F23+F31+F34+F36+F38+F40+F42</f>
        <v>465163.6</v>
      </c>
      <c r="G21" s="785">
        <f>+G23+G31+G34+G36+G38+G40+G42</f>
        <v>476043.6</v>
      </c>
    </row>
    <row r="22" spans="2:11" ht="18.75" customHeight="1" thickBot="1">
      <c r="B22" s="19" t="s">
        <v>46</v>
      </c>
      <c r="C22" s="774"/>
      <c r="D22" s="775"/>
      <c r="E22" s="775"/>
      <c r="F22" s="775"/>
      <c r="G22" s="776"/>
    </row>
    <row r="23" spans="2:11" ht="35.25" customHeight="1" thickBot="1">
      <c r="B23" s="25" t="s">
        <v>62</v>
      </c>
      <c r="C23" s="777">
        <f>SUM(C24:C30)</f>
        <v>413108.2</v>
      </c>
      <c r="D23" s="777">
        <f>SUM(D24:D30)</f>
        <v>485876.50000000006</v>
      </c>
      <c r="E23" s="777">
        <f>SUM(E24:E30)</f>
        <v>465113.59999999998</v>
      </c>
      <c r="F23" s="777">
        <f>SUM(F24:F30)</f>
        <v>465113.59999999998</v>
      </c>
      <c r="G23" s="778">
        <f>SUM(G24:G30)</f>
        <v>475993.59999999998</v>
      </c>
    </row>
    <row r="24" spans="2:11">
      <c r="B24" s="20" t="s">
        <v>48</v>
      </c>
      <c r="C24" s="767">
        <v>16572</v>
      </c>
      <c r="D24" s="767">
        <v>85574</v>
      </c>
      <c r="E24" s="767">
        <v>74694</v>
      </c>
      <c r="F24" s="767">
        <v>74694</v>
      </c>
      <c r="G24" s="768">
        <v>85574</v>
      </c>
      <c r="H24" s="23"/>
    </row>
    <row r="25" spans="2:11">
      <c r="B25" s="21" t="s">
        <v>49</v>
      </c>
      <c r="C25" s="769">
        <v>134319.1</v>
      </c>
      <c r="D25" s="769">
        <v>96706.200000000012</v>
      </c>
      <c r="E25" s="769">
        <v>97064.599999999991</v>
      </c>
      <c r="F25" s="769">
        <v>97064.599999999991</v>
      </c>
      <c r="G25" s="770">
        <v>97064.599999999991</v>
      </c>
      <c r="H25" s="23"/>
    </row>
    <row r="26" spans="2:11">
      <c r="B26" s="21" t="s">
        <v>50</v>
      </c>
      <c r="C26" s="769">
        <v>1775</v>
      </c>
      <c r="D26" s="769">
        <v>37856.199999999997</v>
      </c>
      <c r="E26" s="769">
        <v>0</v>
      </c>
      <c r="F26" s="769">
        <v>0</v>
      </c>
      <c r="G26" s="770">
        <v>0</v>
      </c>
      <c r="H26" s="23"/>
    </row>
    <row r="27" spans="2:11">
      <c r="B27" s="21" t="s">
        <v>51</v>
      </c>
      <c r="C27" s="769">
        <v>112772.1</v>
      </c>
      <c r="D27" s="769">
        <v>102771.7</v>
      </c>
      <c r="E27" s="769">
        <v>101000</v>
      </c>
      <c r="F27" s="769">
        <v>101000</v>
      </c>
      <c r="G27" s="770">
        <v>101000</v>
      </c>
      <c r="H27" s="23"/>
    </row>
    <row r="28" spans="2:11">
      <c r="B28" s="21" t="s">
        <v>52</v>
      </c>
      <c r="C28" s="769">
        <v>45067</v>
      </c>
      <c r="D28" s="769">
        <v>38245.699999999997</v>
      </c>
      <c r="E28" s="769">
        <v>69205</v>
      </c>
      <c r="F28" s="769">
        <v>69205</v>
      </c>
      <c r="G28" s="770">
        <v>69205</v>
      </c>
      <c r="H28" s="23"/>
      <c r="I28" s="23"/>
    </row>
    <row r="29" spans="2:11">
      <c r="B29" s="21" t="s">
        <v>54</v>
      </c>
      <c r="C29" s="769">
        <v>102603</v>
      </c>
      <c r="D29" s="769">
        <v>119017.7</v>
      </c>
      <c r="E29" s="769">
        <v>123150</v>
      </c>
      <c r="F29" s="769">
        <v>123150</v>
      </c>
      <c r="G29" s="770">
        <v>123150</v>
      </c>
    </row>
    <row r="30" spans="2:11" ht="32.25" customHeight="1" thickBot="1">
      <c r="B30" s="24" t="s">
        <v>53</v>
      </c>
      <c r="C30" s="771">
        <v>0</v>
      </c>
      <c r="D30" s="771">
        <v>5705</v>
      </c>
      <c r="E30" s="771">
        <v>0</v>
      </c>
      <c r="F30" s="771">
        <v>0</v>
      </c>
      <c r="G30" s="772">
        <v>0</v>
      </c>
    </row>
    <row r="31" spans="2:11" ht="18" customHeight="1" thickBot="1">
      <c r="B31" s="25" t="s">
        <v>63</v>
      </c>
      <c r="C31" s="779">
        <f>SUM(C32:C33)</f>
        <v>20653.2</v>
      </c>
      <c r="D31" s="779">
        <f>SUM(D32:D33)</f>
        <v>0</v>
      </c>
      <c r="E31" s="779">
        <f>SUM(E32:E33)</f>
        <v>0</v>
      </c>
      <c r="F31" s="779">
        <f>SUM(F32:F33)</f>
        <v>0</v>
      </c>
      <c r="G31" s="780">
        <f>SUM(G32:G33)</f>
        <v>0</v>
      </c>
    </row>
    <row r="32" spans="2:11" ht="32.25" customHeight="1">
      <c r="B32" s="20" t="s">
        <v>49</v>
      </c>
      <c r="C32" s="767">
        <v>8383.6</v>
      </c>
      <c r="D32" s="767">
        <v>0</v>
      </c>
      <c r="E32" s="767">
        <v>0</v>
      </c>
      <c r="F32" s="767">
        <v>0</v>
      </c>
      <c r="G32" s="768">
        <v>0</v>
      </c>
      <c r="H32" s="23"/>
    </row>
    <row r="33" spans="2:8" ht="31.5" customHeight="1" thickBot="1">
      <c r="B33" s="26" t="s">
        <v>55</v>
      </c>
      <c r="C33" s="781">
        <v>12269.6</v>
      </c>
      <c r="D33" s="781">
        <v>0</v>
      </c>
      <c r="E33" s="781">
        <v>0</v>
      </c>
      <c r="F33" s="781">
        <v>0</v>
      </c>
      <c r="G33" s="782">
        <v>0</v>
      </c>
      <c r="H33" s="23"/>
    </row>
    <row r="34" spans="2:8" ht="15" customHeight="1">
      <c r="B34" s="654" t="s">
        <v>312</v>
      </c>
      <c r="C34" s="783">
        <f>+C35</f>
        <v>63537.1</v>
      </c>
      <c r="D34" s="783">
        <f>+D35</f>
        <v>30642.799999999999</v>
      </c>
      <c r="E34" s="783">
        <f>+E35</f>
        <v>0</v>
      </c>
      <c r="F34" s="783">
        <f>+F35</f>
        <v>0</v>
      </c>
      <c r="G34" s="784">
        <f>+G35</f>
        <v>0</v>
      </c>
      <c r="H34" s="23"/>
    </row>
    <row r="35" spans="2:8" s="23" customFormat="1" ht="36.75" customHeight="1" thickBot="1">
      <c r="B35" s="24" t="s">
        <v>55</v>
      </c>
      <c r="C35" s="771">
        <v>63537.1</v>
      </c>
      <c r="D35" s="771">
        <v>30642.799999999999</v>
      </c>
      <c r="E35" s="771">
        <v>0</v>
      </c>
      <c r="F35" s="771">
        <v>0</v>
      </c>
      <c r="G35" s="772">
        <v>0</v>
      </c>
    </row>
    <row r="36" spans="2:8" s="23" customFormat="1" ht="24.75" customHeight="1">
      <c r="B36" s="655" t="s">
        <v>313</v>
      </c>
      <c r="C36" s="773">
        <f>+C37</f>
        <v>20466.599999999999</v>
      </c>
      <c r="D36" s="773">
        <f>+D37</f>
        <v>0</v>
      </c>
      <c r="E36" s="773">
        <f>+E37</f>
        <v>0</v>
      </c>
      <c r="F36" s="773">
        <f>+F37</f>
        <v>0</v>
      </c>
      <c r="G36" s="785">
        <f>+G37</f>
        <v>0</v>
      </c>
    </row>
    <row r="37" spans="2:8" s="23" customFormat="1" ht="27.75" thickBot="1">
      <c r="B37" s="24" t="s">
        <v>55</v>
      </c>
      <c r="C37" s="771">
        <v>20466.599999999999</v>
      </c>
      <c r="D37" s="771">
        <v>0</v>
      </c>
      <c r="E37" s="771">
        <v>0</v>
      </c>
      <c r="F37" s="771">
        <v>0</v>
      </c>
      <c r="G37" s="772">
        <v>0</v>
      </c>
    </row>
    <row r="38" spans="2:8" s="23" customFormat="1" ht="42.75">
      <c r="B38" s="655" t="s">
        <v>314</v>
      </c>
      <c r="C38" s="773">
        <f>+C39</f>
        <v>39597.599999999999</v>
      </c>
      <c r="D38" s="773">
        <f>+D39</f>
        <v>48300</v>
      </c>
      <c r="E38" s="773">
        <f>+E39</f>
        <v>0</v>
      </c>
      <c r="F38" s="773">
        <f>+F39</f>
        <v>0</v>
      </c>
      <c r="G38" s="785">
        <f>+G39</f>
        <v>0</v>
      </c>
    </row>
    <row r="39" spans="2:8" s="23" customFormat="1" ht="27.75" thickBot="1">
      <c r="B39" s="24" t="s">
        <v>55</v>
      </c>
      <c r="C39" s="771">
        <v>39597.599999999999</v>
      </c>
      <c r="D39" s="771">
        <v>48300</v>
      </c>
      <c r="E39" s="771">
        <v>0</v>
      </c>
      <c r="F39" s="771">
        <v>0</v>
      </c>
      <c r="G39" s="772">
        <v>0</v>
      </c>
    </row>
    <row r="40" spans="2:8" ht="42.75">
      <c r="B40" s="656" t="s">
        <v>64</v>
      </c>
      <c r="C40" s="786">
        <f>+C41</f>
        <v>560</v>
      </c>
      <c r="D40" s="786">
        <f>+D41</f>
        <v>0</v>
      </c>
      <c r="E40" s="786">
        <f>+E41</f>
        <v>0</v>
      </c>
      <c r="F40" s="786">
        <f>+F41</f>
        <v>0</v>
      </c>
      <c r="G40" s="787">
        <f>+G41</f>
        <v>0</v>
      </c>
      <c r="H40" s="23"/>
    </row>
    <row r="41" spans="2:8" ht="15.75" thickBot="1">
      <c r="B41" s="26" t="s">
        <v>59</v>
      </c>
      <c r="C41" s="781">
        <v>560</v>
      </c>
      <c r="D41" s="781">
        <v>0</v>
      </c>
      <c r="E41" s="781">
        <v>0</v>
      </c>
      <c r="F41" s="781">
        <v>0</v>
      </c>
      <c r="G41" s="782">
        <v>0</v>
      </c>
      <c r="H41" s="23"/>
    </row>
    <row r="42" spans="2:8">
      <c r="B42" s="654" t="s">
        <v>65</v>
      </c>
      <c r="C42" s="788">
        <f>+C43</f>
        <v>125</v>
      </c>
      <c r="D42" s="788">
        <f>+D43</f>
        <v>50</v>
      </c>
      <c r="E42" s="788">
        <f>+E43</f>
        <v>50</v>
      </c>
      <c r="F42" s="788">
        <f>+F43</f>
        <v>50</v>
      </c>
      <c r="G42" s="789">
        <f>+G43</f>
        <v>50</v>
      </c>
      <c r="H42" s="23"/>
    </row>
    <row r="43" spans="2:8" ht="15.75" thickBot="1">
      <c r="B43" s="657" t="s">
        <v>59</v>
      </c>
      <c r="C43" s="771">
        <v>125</v>
      </c>
      <c r="D43" s="771">
        <v>50</v>
      </c>
      <c r="E43" s="790">
        <v>50</v>
      </c>
      <c r="F43" s="790">
        <v>50</v>
      </c>
      <c r="G43" s="791">
        <v>50</v>
      </c>
      <c r="H43" s="23"/>
    </row>
    <row r="44" spans="2:8">
      <c r="C44" s="23"/>
      <c r="D44" s="23"/>
    </row>
    <row r="45" spans="2:8" ht="16.5">
      <c r="B45" s="67"/>
    </row>
  </sheetData>
  <mergeCells count="5">
    <mergeCell ref="B3:B4"/>
    <mergeCell ref="C3:C4"/>
    <mergeCell ref="B1:G1"/>
    <mergeCell ref="D3:D4"/>
    <mergeCell ref="E3:G3"/>
  </mergeCells>
  <hyperlinks>
    <hyperlink ref="B21" location="_ftn1" display="_ftn1"/>
  </hyperlinks>
  <pageMargins left="0.24" right="0.27" top="0.35" bottom="0.2" header="0.2" footer="0.2"/>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R58"/>
  <sheetViews>
    <sheetView zoomScaleNormal="100" workbookViewId="0">
      <pane xSplit="3" topLeftCell="AB1" activePane="topRight" state="frozen"/>
      <selection pane="topRight" activeCell="AF6" sqref="AF6"/>
    </sheetView>
  </sheetViews>
  <sheetFormatPr defaultRowHeight="15"/>
  <cols>
    <col min="1" max="1" width="6.42578125" style="9" customWidth="1"/>
    <col min="2" max="2" width="7.85546875" style="63" customWidth="1"/>
    <col min="3" max="3" width="68" style="17" customWidth="1"/>
    <col min="4" max="4" width="11.140625" style="27" customWidth="1"/>
    <col min="5" max="5" width="10.85546875" style="5" customWidth="1"/>
    <col min="6" max="6" width="7.7109375" style="5" customWidth="1"/>
    <col min="7" max="7" width="9" style="5" customWidth="1"/>
    <col min="8" max="8" width="7.7109375" style="5" customWidth="1"/>
    <col min="9" max="9" width="9.28515625" style="12" customWidth="1"/>
    <col min="10" max="10" width="9.42578125" style="12" customWidth="1"/>
    <col min="11" max="11" width="9.28515625" style="12" customWidth="1"/>
    <col min="12" max="13" width="8.7109375" style="12" customWidth="1"/>
    <col min="14" max="14" width="8.42578125" style="14" customWidth="1"/>
    <col min="15" max="15" width="10.140625" style="14" customWidth="1"/>
    <col min="16" max="16" width="11.140625" style="27" customWidth="1"/>
    <col min="17" max="17" width="10.85546875" style="5" customWidth="1"/>
    <col min="18" max="18" width="7.7109375" style="5" customWidth="1"/>
    <col min="19" max="19" width="9" style="5" customWidth="1"/>
    <col min="20" max="20" width="7.7109375" style="5" customWidth="1"/>
    <col min="21" max="21" width="9.28515625" style="12" customWidth="1"/>
    <col min="22" max="22" width="9.42578125" style="12" customWidth="1"/>
    <col min="23" max="23" width="9.28515625" style="12" customWidth="1"/>
    <col min="24" max="24" width="11.85546875" style="12" customWidth="1"/>
    <col min="25" max="25" width="8.7109375" style="12" customWidth="1"/>
    <col min="26" max="26" width="9.28515625" style="14" customWidth="1"/>
    <col min="27" max="27" width="10.140625" style="14" customWidth="1"/>
    <col min="28" max="28" width="11.140625" style="27" customWidth="1"/>
    <col min="29" max="29" width="10.85546875" style="5" customWidth="1"/>
    <col min="30" max="30" width="8.85546875" style="5" customWidth="1"/>
    <col min="31" max="31" width="9" style="5" customWidth="1"/>
    <col min="32" max="32" width="7.7109375" style="5" customWidth="1"/>
    <col min="33" max="33" width="9.28515625" style="12" customWidth="1"/>
    <col min="34" max="34" width="10.5703125" style="12" customWidth="1"/>
    <col min="35" max="35" width="9.28515625" style="12" customWidth="1"/>
    <col min="36" max="36" width="11.5703125" style="12" customWidth="1"/>
    <col min="37" max="37" width="9.85546875" style="12" customWidth="1"/>
    <col min="38" max="38" width="9.7109375" style="14" customWidth="1"/>
    <col min="39" max="39" width="10.140625" style="14" customWidth="1"/>
    <col min="40" max="40" width="11.140625" style="27" customWidth="1"/>
    <col min="41" max="41" width="10.85546875" style="5" customWidth="1"/>
    <col min="42" max="42" width="9.85546875" style="5" customWidth="1"/>
    <col min="43" max="43" width="9" style="5" customWidth="1"/>
    <col min="44" max="44" width="7.7109375" style="5" customWidth="1"/>
    <col min="45" max="45" width="9.28515625" style="12" customWidth="1"/>
    <col min="46" max="46" width="12" style="12" customWidth="1"/>
    <col min="47" max="47" width="9.28515625" style="12" customWidth="1"/>
    <col min="48" max="48" width="10.28515625" style="12" customWidth="1"/>
    <col min="49" max="49" width="9.7109375" style="12" customWidth="1"/>
    <col min="50" max="50" width="9.85546875" style="14" customWidth="1"/>
    <col min="51" max="51" width="10.140625" style="14" customWidth="1"/>
    <col min="52" max="52" width="10.85546875" style="245" customWidth="1"/>
    <col min="53" max="53" width="11.42578125" style="245" customWidth="1"/>
    <col min="54" max="54" width="9" style="245" customWidth="1"/>
    <col min="55" max="55" width="9.5703125" style="245" customWidth="1"/>
    <col min="56" max="56" width="7.7109375" style="245" customWidth="1"/>
    <col min="57" max="57" width="9.28515625" style="245" customWidth="1"/>
    <col min="58" max="58" width="11.7109375" style="245" customWidth="1"/>
    <col min="59" max="59" width="9.28515625" style="245" customWidth="1"/>
    <col min="60" max="61" width="10.28515625" style="245" customWidth="1"/>
    <col min="62" max="62" width="9.85546875" style="245" customWidth="1"/>
    <col min="63" max="63" width="11" style="245" customWidth="1"/>
  </cols>
  <sheetData>
    <row r="1" spans="1:70" s="1" customFormat="1" ht="39" customHeight="1">
      <c r="A1" s="1851" t="s">
        <v>67</v>
      </c>
      <c r="B1" s="1851"/>
      <c r="C1" s="1851"/>
      <c r="D1" s="184"/>
      <c r="E1" s="4"/>
      <c r="F1" s="4"/>
      <c r="G1" s="4"/>
      <c r="H1" s="4"/>
      <c r="I1" s="11"/>
      <c r="J1" s="11"/>
      <c r="K1" s="11"/>
      <c r="L1" s="11"/>
      <c r="M1" s="11"/>
      <c r="N1" s="13"/>
      <c r="O1" s="13"/>
      <c r="P1" s="184"/>
      <c r="Q1" s="4"/>
      <c r="R1" s="4"/>
      <c r="S1" s="4"/>
      <c r="T1" s="4"/>
      <c r="U1" s="11"/>
      <c r="V1" s="11"/>
      <c r="W1" s="11"/>
      <c r="X1" s="11"/>
      <c r="Y1" s="11"/>
      <c r="Z1" s="13"/>
      <c r="AA1" s="13"/>
      <c r="AB1" s="184"/>
      <c r="AC1" s="4"/>
      <c r="AD1" s="4"/>
      <c r="AE1" s="4"/>
      <c r="AF1" s="4"/>
      <c r="AG1" s="11"/>
      <c r="AH1" s="11"/>
      <c r="AI1" s="11"/>
      <c r="AJ1" s="11"/>
      <c r="AK1" s="11"/>
      <c r="AL1" s="13"/>
      <c r="AM1" s="13"/>
      <c r="AN1" s="184"/>
      <c r="AO1" s="4"/>
      <c r="AP1" s="4"/>
      <c r="AQ1" s="4"/>
      <c r="AR1" s="4"/>
      <c r="AS1" s="11"/>
      <c r="AT1" s="11"/>
      <c r="AU1" s="11"/>
      <c r="AV1" s="11"/>
      <c r="AW1" s="11"/>
      <c r="AX1" s="13"/>
      <c r="AY1" s="13"/>
      <c r="AZ1" s="184"/>
      <c r="BA1" s="247"/>
      <c r="BB1" s="247"/>
      <c r="BC1" s="247"/>
      <c r="BD1" s="247"/>
      <c r="BE1" s="247"/>
      <c r="BF1" s="247"/>
      <c r="BG1" s="247"/>
      <c r="BH1" s="247"/>
      <c r="BI1" s="247"/>
      <c r="BJ1" s="247"/>
      <c r="BK1" s="247"/>
    </row>
    <row r="2" spans="1:70" s="1" customFormat="1" ht="12" customHeight="1" thickBot="1">
      <c r="A2" s="8"/>
      <c r="B2" s="41"/>
      <c r="C2" s="16"/>
      <c r="D2" s="184"/>
      <c r="E2" s="4"/>
      <c r="F2" s="4"/>
      <c r="G2" s="4"/>
      <c r="H2" s="4"/>
      <c r="I2" s="11"/>
      <c r="J2" s="11"/>
      <c r="K2" s="11"/>
      <c r="L2" s="11"/>
      <c r="M2" s="11"/>
      <c r="N2" s="13"/>
      <c r="O2" s="13"/>
      <c r="P2" s="184"/>
      <c r="Q2" s="4"/>
      <c r="R2" s="4"/>
      <c r="S2" s="4"/>
      <c r="T2" s="4"/>
      <c r="U2" s="11"/>
      <c r="V2" s="11"/>
      <c r="W2" s="11"/>
      <c r="X2" s="11"/>
      <c r="Y2" s="11"/>
      <c r="Z2" s="13"/>
      <c r="AA2" s="13"/>
      <c r="AB2" s="184"/>
      <c r="AC2" s="4"/>
      <c r="AD2" s="4"/>
      <c r="AE2" s="4"/>
      <c r="AF2" s="4"/>
      <c r="AG2" s="11"/>
      <c r="AH2" s="11"/>
      <c r="AI2" s="11"/>
      <c r="AJ2" s="11"/>
      <c r="AK2" s="11"/>
      <c r="AL2" s="13"/>
      <c r="AM2" s="13"/>
      <c r="AN2" s="184"/>
      <c r="AO2" s="4"/>
      <c r="AP2" s="4"/>
      <c r="AQ2" s="4"/>
      <c r="AR2" s="4"/>
      <c r="AS2" s="11"/>
      <c r="AT2" s="11"/>
      <c r="AU2" s="11"/>
      <c r="AV2" s="11"/>
      <c r="AW2" s="11"/>
      <c r="AX2" s="13"/>
      <c r="AY2" s="13"/>
      <c r="AZ2" s="184"/>
      <c r="BA2" s="247"/>
      <c r="BB2" s="247"/>
      <c r="BC2" s="247"/>
      <c r="BD2" s="247"/>
      <c r="BE2" s="247"/>
      <c r="BF2" s="247"/>
      <c r="BG2" s="247"/>
      <c r="BH2" s="247"/>
      <c r="BI2" s="247"/>
      <c r="BJ2" s="247"/>
      <c r="BK2" s="247"/>
    </row>
    <row r="3" spans="1:70" ht="26.25" customHeight="1" thickBot="1">
      <c r="A3" s="1798" t="s">
        <v>6</v>
      </c>
      <c r="B3" s="1799"/>
      <c r="C3" s="1860" t="s">
        <v>268</v>
      </c>
      <c r="D3" s="1862" t="s">
        <v>208</v>
      </c>
      <c r="E3" s="1863"/>
      <c r="F3" s="1863"/>
      <c r="G3" s="1863"/>
      <c r="H3" s="1863"/>
      <c r="I3" s="1863"/>
      <c r="J3" s="1863"/>
      <c r="K3" s="1863"/>
      <c r="L3" s="1863"/>
      <c r="M3" s="1863"/>
      <c r="N3" s="1863"/>
      <c r="O3" s="1863"/>
      <c r="P3" s="1855" t="s">
        <v>282</v>
      </c>
      <c r="Q3" s="1856"/>
      <c r="R3" s="1856"/>
      <c r="S3" s="1856"/>
      <c r="T3" s="1856"/>
      <c r="U3" s="1856"/>
      <c r="V3" s="1856"/>
      <c r="W3" s="1856"/>
      <c r="X3" s="1856"/>
      <c r="Y3" s="1856"/>
      <c r="Z3" s="1856"/>
      <c r="AA3" s="1857"/>
      <c r="AB3" s="1864" t="s">
        <v>283</v>
      </c>
      <c r="AC3" s="1865"/>
      <c r="AD3" s="1865"/>
      <c r="AE3" s="1865"/>
      <c r="AF3" s="1865"/>
      <c r="AG3" s="1865"/>
      <c r="AH3" s="1865"/>
      <c r="AI3" s="1865"/>
      <c r="AJ3" s="1865"/>
      <c r="AK3" s="1865"/>
      <c r="AL3" s="1865"/>
      <c r="AM3" s="1866"/>
      <c r="AN3" s="1867" t="s">
        <v>284</v>
      </c>
      <c r="AO3" s="1868"/>
      <c r="AP3" s="1868"/>
      <c r="AQ3" s="1868"/>
      <c r="AR3" s="1868"/>
      <c r="AS3" s="1868"/>
      <c r="AT3" s="1868"/>
      <c r="AU3" s="1868"/>
      <c r="AV3" s="1868"/>
      <c r="AW3" s="1868"/>
      <c r="AX3" s="1868"/>
      <c r="AY3" s="1869"/>
      <c r="AZ3" s="1852" t="s">
        <v>285</v>
      </c>
      <c r="BA3" s="1853"/>
      <c r="BB3" s="1853"/>
      <c r="BC3" s="1853"/>
      <c r="BD3" s="1853"/>
      <c r="BE3" s="1853"/>
      <c r="BF3" s="1853"/>
      <c r="BG3" s="1853"/>
      <c r="BH3" s="1853"/>
      <c r="BI3" s="1853"/>
      <c r="BJ3" s="1853"/>
      <c r="BK3" s="1854"/>
      <c r="BL3" s="1"/>
      <c r="BM3" s="1"/>
      <c r="BN3" s="1"/>
      <c r="BO3" s="1"/>
      <c r="BP3" s="1"/>
      <c r="BQ3" s="1"/>
      <c r="BR3" s="1"/>
    </row>
    <row r="4" spans="1:70" s="64" customFormat="1" ht="98.25" customHeight="1" thickBot="1">
      <c r="A4" s="1858"/>
      <c r="B4" s="1859"/>
      <c r="C4" s="1861"/>
      <c r="D4" s="218" t="s">
        <v>20</v>
      </c>
      <c r="E4" s="219" t="s">
        <v>68</v>
      </c>
      <c r="F4" s="219" t="s">
        <v>78</v>
      </c>
      <c r="G4" s="220" t="s">
        <v>69</v>
      </c>
      <c r="H4" s="219" t="s">
        <v>70</v>
      </c>
      <c r="I4" s="219" t="s">
        <v>71</v>
      </c>
      <c r="J4" s="219" t="s">
        <v>72</v>
      </c>
      <c r="K4" s="219" t="s">
        <v>77</v>
      </c>
      <c r="L4" s="219" t="s">
        <v>73</v>
      </c>
      <c r="M4" s="219" t="s">
        <v>74</v>
      </c>
      <c r="N4" s="219" t="s">
        <v>76</v>
      </c>
      <c r="O4" s="222" t="s">
        <v>75</v>
      </c>
      <c r="P4" s="233" t="s">
        <v>20</v>
      </c>
      <c r="Q4" s="234" t="s">
        <v>68</v>
      </c>
      <c r="R4" s="234" t="s">
        <v>78</v>
      </c>
      <c r="S4" s="235" t="s">
        <v>69</v>
      </c>
      <c r="T4" s="234" t="s">
        <v>70</v>
      </c>
      <c r="U4" s="234" t="s">
        <v>71</v>
      </c>
      <c r="V4" s="234" t="s">
        <v>72</v>
      </c>
      <c r="W4" s="234" t="s">
        <v>77</v>
      </c>
      <c r="X4" s="234" t="s">
        <v>73</v>
      </c>
      <c r="Y4" s="234" t="s">
        <v>74</v>
      </c>
      <c r="Z4" s="234" t="s">
        <v>76</v>
      </c>
      <c r="AA4" s="236" t="s">
        <v>75</v>
      </c>
      <c r="AB4" s="237" t="s">
        <v>20</v>
      </c>
      <c r="AC4" s="238" t="s">
        <v>68</v>
      </c>
      <c r="AD4" s="238" t="s">
        <v>78</v>
      </c>
      <c r="AE4" s="239" t="s">
        <v>69</v>
      </c>
      <c r="AF4" s="238" t="s">
        <v>70</v>
      </c>
      <c r="AG4" s="238" t="s">
        <v>71</v>
      </c>
      <c r="AH4" s="238" t="s">
        <v>72</v>
      </c>
      <c r="AI4" s="238" t="s">
        <v>77</v>
      </c>
      <c r="AJ4" s="238" t="s">
        <v>73</v>
      </c>
      <c r="AK4" s="238" t="s">
        <v>74</v>
      </c>
      <c r="AL4" s="238" t="s">
        <v>76</v>
      </c>
      <c r="AM4" s="240" t="s">
        <v>75</v>
      </c>
      <c r="AN4" s="241" t="s">
        <v>20</v>
      </c>
      <c r="AO4" s="242" t="s">
        <v>68</v>
      </c>
      <c r="AP4" s="242" t="s">
        <v>78</v>
      </c>
      <c r="AQ4" s="243" t="s">
        <v>69</v>
      </c>
      <c r="AR4" s="242" t="s">
        <v>70</v>
      </c>
      <c r="AS4" s="242" t="s">
        <v>71</v>
      </c>
      <c r="AT4" s="242" t="s">
        <v>72</v>
      </c>
      <c r="AU4" s="242" t="s">
        <v>77</v>
      </c>
      <c r="AV4" s="242" t="s">
        <v>73</v>
      </c>
      <c r="AW4" s="242" t="s">
        <v>74</v>
      </c>
      <c r="AX4" s="242" t="s">
        <v>76</v>
      </c>
      <c r="AY4" s="244" t="s">
        <v>75</v>
      </c>
      <c r="AZ4" s="250" t="s">
        <v>20</v>
      </c>
      <c r="BA4" s="248" t="s">
        <v>68</v>
      </c>
      <c r="BB4" s="248" t="s">
        <v>78</v>
      </c>
      <c r="BC4" s="249" t="s">
        <v>69</v>
      </c>
      <c r="BD4" s="248" t="s">
        <v>70</v>
      </c>
      <c r="BE4" s="248" t="s">
        <v>71</v>
      </c>
      <c r="BF4" s="248" t="s">
        <v>72</v>
      </c>
      <c r="BG4" s="248" t="s">
        <v>77</v>
      </c>
      <c r="BH4" s="248" t="s">
        <v>73</v>
      </c>
      <c r="BI4" s="248" t="s">
        <v>74</v>
      </c>
      <c r="BJ4" s="248" t="s">
        <v>76</v>
      </c>
      <c r="BK4" s="251" t="s">
        <v>75</v>
      </c>
      <c r="BL4" s="1"/>
      <c r="BM4" s="1"/>
      <c r="BN4" s="1"/>
      <c r="BO4" s="1"/>
      <c r="BP4" s="1"/>
      <c r="BQ4" s="1"/>
      <c r="BR4" s="1"/>
    </row>
    <row r="5" spans="1:70" s="59" customFormat="1" ht="33" customHeight="1">
      <c r="A5" s="187"/>
      <c r="B5" s="225"/>
      <c r="C5" s="199"/>
      <c r="D5" s="792">
        <f>D6+D9+D13+D15+D29+D39</f>
        <v>5521700.7399999993</v>
      </c>
      <c r="E5" s="793">
        <f t="shared" ref="E5:O5" si="0">E6+E9+E13+E15+E29+E39</f>
        <v>2413302.7350000003</v>
      </c>
      <c r="F5" s="793">
        <f t="shared" si="0"/>
        <v>60678.58</v>
      </c>
      <c r="G5" s="793">
        <f t="shared" si="0"/>
        <v>191622.1</v>
      </c>
      <c r="H5" s="793">
        <f t="shared" si="0"/>
        <v>4670</v>
      </c>
      <c r="I5" s="793">
        <f t="shared" si="0"/>
        <v>554437.04</v>
      </c>
      <c r="J5" s="793">
        <f t="shared" si="0"/>
        <v>483104.42499999999</v>
      </c>
      <c r="K5" s="793">
        <f t="shared" si="0"/>
        <v>297051.315</v>
      </c>
      <c r="L5" s="793">
        <f t="shared" si="0"/>
        <v>648741.43500000006</v>
      </c>
      <c r="M5" s="793">
        <f t="shared" si="0"/>
        <v>182035.74</v>
      </c>
      <c r="N5" s="793">
        <f t="shared" si="0"/>
        <v>135747.68</v>
      </c>
      <c r="O5" s="794">
        <f t="shared" si="0"/>
        <v>550309.68999999994</v>
      </c>
      <c r="P5" s="795">
        <f>P6+P9+P13+P15+P29+P39</f>
        <v>6984079.5</v>
      </c>
      <c r="Q5" s="796">
        <f t="shared" ref="Q5:AA5" si="1">Q6+Q9+Q13+Q15+Q29+Q39</f>
        <v>2732377.0060000005</v>
      </c>
      <c r="R5" s="796">
        <f t="shared" si="1"/>
        <v>69970.695999999996</v>
      </c>
      <c r="S5" s="796">
        <f t="shared" si="1"/>
        <v>152887.29999999999</v>
      </c>
      <c r="T5" s="796">
        <f t="shared" si="1"/>
        <v>0</v>
      </c>
      <c r="U5" s="796">
        <f t="shared" si="1"/>
        <v>589731.196</v>
      </c>
      <c r="V5" s="796">
        <f t="shared" si="1"/>
        <v>437316.85</v>
      </c>
      <c r="W5" s="796">
        <f t="shared" si="1"/>
        <v>291702.81800000003</v>
      </c>
      <c r="X5" s="796">
        <f t="shared" si="1"/>
        <v>1808374.2220000001</v>
      </c>
      <c r="Y5" s="796">
        <f t="shared" si="1"/>
        <v>209912.08799999999</v>
      </c>
      <c r="Z5" s="796">
        <f t="shared" si="1"/>
        <v>126575.59599999999</v>
      </c>
      <c r="AA5" s="797">
        <f t="shared" si="1"/>
        <v>565231.728</v>
      </c>
      <c r="AB5" s="798">
        <f>AB6+AB9+AB13+AB15+AB29+AB39+AB42</f>
        <v>12578556.091268547</v>
      </c>
      <c r="AC5" s="793">
        <f t="shared" ref="AC5:AM5" si="2">AC6+AC9+AC13+AC15+AC29+AC39</f>
        <v>4229830.4422685448</v>
      </c>
      <c r="AD5" s="793">
        <f t="shared" si="2"/>
        <v>169278.35600000003</v>
      </c>
      <c r="AE5" s="793">
        <f t="shared" si="2"/>
        <v>171532.79999999999</v>
      </c>
      <c r="AF5" s="793">
        <f t="shared" si="2"/>
        <v>0</v>
      </c>
      <c r="AG5" s="793">
        <f t="shared" si="2"/>
        <v>697570.55599999998</v>
      </c>
      <c r="AH5" s="793">
        <f t="shared" si="2"/>
        <v>1057989.7250000001</v>
      </c>
      <c r="AI5" s="793">
        <f t="shared" si="2"/>
        <v>684521.223</v>
      </c>
      <c r="AJ5" s="793">
        <f t="shared" si="2"/>
        <v>2354730.807</v>
      </c>
      <c r="AK5" s="793">
        <f t="shared" si="2"/>
        <v>507835.06799999997</v>
      </c>
      <c r="AL5" s="793">
        <f t="shared" si="2"/>
        <v>241543.25600000002</v>
      </c>
      <c r="AM5" s="794">
        <f t="shared" si="2"/>
        <v>1111423.858</v>
      </c>
      <c r="AN5" s="798">
        <f>AN6+AN9+AN13+AN15+AN29+AN39+AN42</f>
        <v>10069117.418019241</v>
      </c>
      <c r="AO5" s="793">
        <f t="shared" ref="AO5:AY5" si="3">AO6+AO9+AO13+AO15+AO29+AO39</f>
        <v>3759666.0880192397</v>
      </c>
      <c r="AP5" s="793">
        <f t="shared" si="3"/>
        <v>170215.32</v>
      </c>
      <c r="AQ5" s="793">
        <f t="shared" si="3"/>
        <v>171532.79999999999</v>
      </c>
      <c r="AR5" s="793">
        <f t="shared" si="3"/>
        <v>0</v>
      </c>
      <c r="AS5" s="793">
        <f t="shared" si="3"/>
        <v>698507.52</v>
      </c>
      <c r="AT5" s="793">
        <f t="shared" si="3"/>
        <v>1063845.75</v>
      </c>
      <c r="AU5" s="793">
        <f t="shared" si="3"/>
        <v>686160.90999999992</v>
      </c>
      <c r="AV5" s="793">
        <f t="shared" si="3"/>
        <v>297185.69</v>
      </c>
      <c r="AW5" s="793">
        <f t="shared" si="3"/>
        <v>510645.95999999996</v>
      </c>
      <c r="AX5" s="793">
        <f t="shared" si="3"/>
        <v>242480.22</v>
      </c>
      <c r="AY5" s="799">
        <f t="shared" si="3"/>
        <v>1116577.1599999999</v>
      </c>
      <c r="AZ5" s="800">
        <f>AZ6+AZ9+AZ13+AZ15+AZ29+AZ39+AZ42</f>
        <v>9870212.0742303021</v>
      </c>
      <c r="BA5" s="801">
        <f t="shared" ref="BA5:BK5" si="4">BA6+BA9+BA13+BA15+BA29+BA39</f>
        <v>3435867.4132303009</v>
      </c>
      <c r="BB5" s="801">
        <f t="shared" si="4"/>
        <v>163968.72399999999</v>
      </c>
      <c r="BC5" s="801">
        <f t="shared" si="4"/>
        <v>171532.79999999999</v>
      </c>
      <c r="BD5" s="801">
        <f t="shared" si="4"/>
        <v>0</v>
      </c>
      <c r="BE5" s="801">
        <f t="shared" si="4"/>
        <v>692260.92399999988</v>
      </c>
      <c r="BF5" s="801">
        <f t="shared" si="4"/>
        <v>1024804.5249999999</v>
      </c>
      <c r="BG5" s="801">
        <f t="shared" si="4"/>
        <v>675229.36699999997</v>
      </c>
      <c r="BH5" s="801">
        <f t="shared" si="4"/>
        <v>489719.54300000001</v>
      </c>
      <c r="BI5" s="801">
        <f t="shared" si="4"/>
        <v>546074.272</v>
      </c>
      <c r="BJ5" s="801">
        <f t="shared" si="4"/>
        <v>236233.62399999998</v>
      </c>
      <c r="BK5" s="802">
        <f t="shared" si="4"/>
        <v>1082220.882</v>
      </c>
      <c r="BL5" s="1"/>
      <c r="BM5" s="1"/>
      <c r="BN5" s="1"/>
      <c r="BO5" s="1"/>
      <c r="BP5" s="1"/>
      <c r="BQ5" s="1"/>
      <c r="BR5" s="1"/>
    </row>
    <row r="6" spans="1:70" s="288" customFormat="1" ht="27" customHeight="1">
      <c r="A6" s="188">
        <v>1016</v>
      </c>
      <c r="B6" s="223"/>
      <c r="C6" s="185" t="s">
        <v>230</v>
      </c>
      <c r="D6" s="803">
        <f>D7+D8</f>
        <v>355323.9</v>
      </c>
      <c r="E6" s="804">
        <f t="shared" ref="E6:O6" si="5">E7+E8</f>
        <v>355323.9</v>
      </c>
      <c r="F6" s="804">
        <f t="shared" si="5"/>
        <v>0</v>
      </c>
      <c r="G6" s="804">
        <f t="shared" si="5"/>
        <v>0</v>
      </c>
      <c r="H6" s="804">
        <f t="shared" si="5"/>
        <v>0</v>
      </c>
      <c r="I6" s="804">
        <f t="shared" si="5"/>
        <v>0</v>
      </c>
      <c r="J6" s="804">
        <f t="shared" si="5"/>
        <v>0</v>
      </c>
      <c r="K6" s="804">
        <f t="shared" si="5"/>
        <v>0</v>
      </c>
      <c r="L6" s="804">
        <f t="shared" si="5"/>
        <v>0</v>
      </c>
      <c r="M6" s="804">
        <f t="shared" si="5"/>
        <v>0</v>
      </c>
      <c r="N6" s="804">
        <f t="shared" si="5"/>
        <v>0</v>
      </c>
      <c r="O6" s="805">
        <f t="shared" si="5"/>
        <v>0</v>
      </c>
      <c r="P6" s="806">
        <f>P7+P8</f>
        <v>319103.59999999998</v>
      </c>
      <c r="Q6" s="804">
        <f t="shared" ref="Q6" si="6">Q7+Q8</f>
        <v>319103.59999999998</v>
      </c>
      <c r="R6" s="804">
        <f t="shared" ref="R6" si="7">R7+R8</f>
        <v>0</v>
      </c>
      <c r="S6" s="804">
        <f t="shared" ref="S6" si="8">S7+S8</f>
        <v>0</v>
      </c>
      <c r="T6" s="804">
        <f t="shared" ref="T6" si="9">T7+T8</f>
        <v>0</v>
      </c>
      <c r="U6" s="804">
        <f t="shared" ref="U6" si="10">U7+U8</f>
        <v>0</v>
      </c>
      <c r="V6" s="804">
        <f t="shared" ref="V6" si="11">V7+V8</f>
        <v>0</v>
      </c>
      <c r="W6" s="804">
        <f t="shared" ref="W6" si="12">W7+W8</f>
        <v>0</v>
      </c>
      <c r="X6" s="804">
        <f t="shared" ref="X6" si="13">X7+X8</f>
        <v>0</v>
      </c>
      <c r="Y6" s="804">
        <f t="shared" ref="Y6" si="14">Y7+Y8</f>
        <v>0</v>
      </c>
      <c r="Z6" s="804">
        <f t="shared" ref="Z6" si="15">Z7+Z8</f>
        <v>0</v>
      </c>
      <c r="AA6" s="805">
        <f t="shared" ref="AA6" si="16">AA7+AA8</f>
        <v>0</v>
      </c>
      <c r="AB6" s="806">
        <f>AB7+AB8</f>
        <v>652343</v>
      </c>
      <c r="AC6" s="804">
        <f t="shared" ref="AC6" si="17">AC7+AC8</f>
        <v>652343</v>
      </c>
      <c r="AD6" s="804">
        <f t="shared" ref="AD6" si="18">AD7+AD8</f>
        <v>0</v>
      </c>
      <c r="AE6" s="804">
        <f t="shared" ref="AE6" si="19">AE7+AE8</f>
        <v>0</v>
      </c>
      <c r="AF6" s="804">
        <f t="shared" ref="AF6" si="20">AF7+AF8</f>
        <v>0</v>
      </c>
      <c r="AG6" s="804">
        <f t="shared" ref="AG6" si="21">AG7+AG8</f>
        <v>0</v>
      </c>
      <c r="AH6" s="804">
        <f t="shared" ref="AH6" si="22">AH7+AH8</f>
        <v>0</v>
      </c>
      <c r="AI6" s="804">
        <f t="shared" ref="AI6" si="23">AI7+AI8</f>
        <v>0</v>
      </c>
      <c r="AJ6" s="804">
        <f t="shared" ref="AJ6" si="24">AJ7+AJ8</f>
        <v>0</v>
      </c>
      <c r="AK6" s="804">
        <f t="shared" ref="AK6" si="25">AK7+AK8</f>
        <v>0</v>
      </c>
      <c r="AL6" s="804">
        <f t="shared" ref="AL6" si="26">AL7+AL8</f>
        <v>0</v>
      </c>
      <c r="AM6" s="805">
        <f t="shared" ref="AM6" si="27">AM7+AM8</f>
        <v>0</v>
      </c>
      <c r="AN6" s="806">
        <f>AN7+AN8</f>
        <v>677077</v>
      </c>
      <c r="AO6" s="804">
        <f t="shared" ref="AO6" si="28">AO7+AO8</f>
        <v>677077</v>
      </c>
      <c r="AP6" s="804">
        <f t="shared" ref="AP6" si="29">AP7+AP8</f>
        <v>0</v>
      </c>
      <c r="AQ6" s="804">
        <f t="shared" ref="AQ6" si="30">AQ7+AQ8</f>
        <v>0</v>
      </c>
      <c r="AR6" s="804">
        <f t="shared" ref="AR6" si="31">AR7+AR8</f>
        <v>0</v>
      </c>
      <c r="AS6" s="804">
        <f t="shared" ref="AS6" si="32">AS7+AS8</f>
        <v>0</v>
      </c>
      <c r="AT6" s="804">
        <f t="shared" ref="AT6" si="33">AT7+AT8</f>
        <v>0</v>
      </c>
      <c r="AU6" s="804">
        <f t="shared" ref="AU6" si="34">AU7+AU8</f>
        <v>0</v>
      </c>
      <c r="AV6" s="804">
        <f t="shared" ref="AV6" si="35">AV7+AV8</f>
        <v>0</v>
      </c>
      <c r="AW6" s="804">
        <f t="shared" ref="AW6" si="36">AW7+AW8</f>
        <v>0</v>
      </c>
      <c r="AX6" s="804">
        <f t="shared" ref="AX6" si="37">AX7+AX8</f>
        <v>0</v>
      </c>
      <c r="AY6" s="807">
        <f t="shared" ref="AY6" si="38">AY7+AY8</f>
        <v>0</v>
      </c>
      <c r="AZ6" s="806">
        <f>AZ7+AZ8</f>
        <v>680978.8</v>
      </c>
      <c r="BA6" s="804">
        <f t="shared" ref="BA6" si="39">BA7+BA8</f>
        <v>680978.8</v>
      </c>
      <c r="BB6" s="804">
        <f t="shared" ref="BB6" si="40">BB7+BB8</f>
        <v>0</v>
      </c>
      <c r="BC6" s="804">
        <f t="shared" ref="BC6" si="41">BC7+BC8</f>
        <v>0</v>
      </c>
      <c r="BD6" s="804">
        <f t="shared" ref="BD6" si="42">BD7+BD8</f>
        <v>0</v>
      </c>
      <c r="BE6" s="804">
        <f t="shared" ref="BE6" si="43">BE7+BE8</f>
        <v>0</v>
      </c>
      <c r="BF6" s="804">
        <f t="shared" ref="BF6" si="44">BF7+BF8</f>
        <v>0</v>
      </c>
      <c r="BG6" s="804">
        <f t="shared" ref="BG6" si="45">BG7+BG8</f>
        <v>0</v>
      </c>
      <c r="BH6" s="804">
        <f t="shared" ref="BH6" si="46">BH7+BH8</f>
        <v>0</v>
      </c>
      <c r="BI6" s="804">
        <f t="shared" ref="BI6" si="47">BI7+BI8</f>
        <v>0</v>
      </c>
      <c r="BJ6" s="804">
        <f t="shared" ref="BJ6" si="48">BJ7+BJ8</f>
        <v>0</v>
      </c>
      <c r="BK6" s="807">
        <f t="shared" ref="BK6" si="49">BK7+BK8</f>
        <v>0</v>
      </c>
      <c r="BL6" s="1"/>
      <c r="BM6" s="1"/>
      <c r="BN6" s="1"/>
      <c r="BO6" s="1"/>
      <c r="BP6" s="1"/>
      <c r="BQ6" s="1"/>
      <c r="BR6" s="1"/>
    </row>
    <row r="7" spans="1:70" s="6" customFormat="1" ht="25.5" customHeight="1">
      <c r="A7" s="1725"/>
      <c r="B7" s="226">
        <v>11001</v>
      </c>
      <c r="C7" s="177" t="s">
        <v>30</v>
      </c>
      <c r="D7" s="808">
        <f>SUM(E7:O7)</f>
        <v>38077.199999999997</v>
      </c>
      <c r="E7" s="809">
        <f>AMPOP!F12</f>
        <v>38077.199999999997</v>
      </c>
      <c r="F7" s="801"/>
      <c r="G7" s="801"/>
      <c r="H7" s="801"/>
      <c r="I7" s="801"/>
      <c r="J7" s="801"/>
      <c r="K7" s="801"/>
      <c r="L7" s="801"/>
      <c r="M7" s="801"/>
      <c r="N7" s="801"/>
      <c r="O7" s="810"/>
      <c r="P7" s="811">
        <f>SUM(Q7:AA7)</f>
        <v>45461.8</v>
      </c>
      <c r="Q7" s="809">
        <f>AMPOP!G12</f>
        <v>45461.8</v>
      </c>
      <c r="R7" s="801"/>
      <c r="S7" s="801"/>
      <c r="T7" s="801"/>
      <c r="U7" s="801"/>
      <c r="V7" s="801"/>
      <c r="W7" s="801"/>
      <c r="X7" s="801"/>
      <c r="Y7" s="801"/>
      <c r="Z7" s="801"/>
      <c r="AA7" s="810"/>
      <c r="AB7" s="811">
        <f>SUM(AC7:AM7)</f>
        <v>45461.8</v>
      </c>
      <c r="AC7" s="809">
        <f>AMPOP!H12</f>
        <v>45461.8</v>
      </c>
      <c r="AD7" s="801"/>
      <c r="AE7" s="801"/>
      <c r="AF7" s="801"/>
      <c r="AG7" s="801"/>
      <c r="AH7" s="801"/>
      <c r="AI7" s="801"/>
      <c r="AJ7" s="801"/>
      <c r="AK7" s="801"/>
      <c r="AL7" s="801"/>
      <c r="AM7" s="810"/>
      <c r="AN7" s="811">
        <f>SUM(AO7:AY7)</f>
        <v>45461.8</v>
      </c>
      <c r="AO7" s="809">
        <f>AMPOP!I12</f>
        <v>45461.8</v>
      </c>
      <c r="AP7" s="801"/>
      <c r="AQ7" s="801"/>
      <c r="AR7" s="801"/>
      <c r="AS7" s="801"/>
      <c r="AT7" s="801"/>
      <c r="AU7" s="801"/>
      <c r="AV7" s="801"/>
      <c r="AW7" s="801"/>
      <c r="AX7" s="801"/>
      <c r="AY7" s="802"/>
      <c r="AZ7" s="811">
        <f>SUM(BA7:BK7)</f>
        <v>45461.8</v>
      </c>
      <c r="BA7" s="809">
        <f>AMPOP!J12</f>
        <v>45461.8</v>
      </c>
      <c r="BB7" s="801"/>
      <c r="BC7" s="801"/>
      <c r="BD7" s="801"/>
      <c r="BE7" s="801"/>
      <c r="BF7" s="801"/>
      <c r="BG7" s="801"/>
      <c r="BH7" s="801"/>
      <c r="BI7" s="801"/>
      <c r="BJ7" s="801"/>
      <c r="BK7" s="802"/>
      <c r="BL7" s="1"/>
      <c r="BM7" s="1"/>
      <c r="BN7" s="1"/>
      <c r="BO7" s="1"/>
      <c r="BP7" s="1"/>
      <c r="BQ7" s="1"/>
      <c r="BR7" s="1"/>
    </row>
    <row r="8" spans="1:70" s="6" customFormat="1" ht="26.25" customHeight="1">
      <c r="A8" s="1726"/>
      <c r="B8" s="226">
        <v>11002</v>
      </c>
      <c r="C8" s="178" t="s">
        <v>231</v>
      </c>
      <c r="D8" s="808">
        <f>SUM(E8:O8)</f>
        <v>317246.7</v>
      </c>
      <c r="E8" s="809">
        <f>AMPOP!F13</f>
        <v>317246.7</v>
      </c>
      <c r="F8" s="801"/>
      <c r="G8" s="801"/>
      <c r="H8" s="801"/>
      <c r="I8" s="801"/>
      <c r="J8" s="801"/>
      <c r="K8" s="801"/>
      <c r="L8" s="801"/>
      <c r="M8" s="801"/>
      <c r="N8" s="801"/>
      <c r="O8" s="810"/>
      <c r="P8" s="811">
        <f>SUM(Q8:AA8)</f>
        <v>273641.8</v>
      </c>
      <c r="Q8" s="809">
        <f>AMPOP!G13</f>
        <v>273641.8</v>
      </c>
      <c r="R8" s="801"/>
      <c r="S8" s="801"/>
      <c r="T8" s="801"/>
      <c r="U8" s="801"/>
      <c r="V8" s="801"/>
      <c r="W8" s="801"/>
      <c r="X8" s="801"/>
      <c r="Y8" s="801"/>
      <c r="Z8" s="801"/>
      <c r="AA8" s="810"/>
      <c r="AB8" s="811">
        <f>SUM(AC8:AM8)</f>
        <v>606881.19999999995</v>
      </c>
      <c r="AC8" s="809">
        <f>AMPOP!H13</f>
        <v>606881.19999999995</v>
      </c>
      <c r="AD8" s="801"/>
      <c r="AE8" s="801"/>
      <c r="AF8" s="801"/>
      <c r="AG8" s="801"/>
      <c r="AH8" s="801"/>
      <c r="AI8" s="801"/>
      <c r="AJ8" s="801"/>
      <c r="AK8" s="801"/>
      <c r="AL8" s="801"/>
      <c r="AM8" s="810"/>
      <c r="AN8" s="811">
        <f>SUM(AO8:AY8)</f>
        <v>631615.19999999995</v>
      </c>
      <c r="AO8" s="809">
        <f>AMPOP!I13</f>
        <v>631615.19999999995</v>
      </c>
      <c r="AP8" s="801"/>
      <c r="AQ8" s="801"/>
      <c r="AR8" s="801"/>
      <c r="AS8" s="801"/>
      <c r="AT8" s="801"/>
      <c r="AU8" s="801"/>
      <c r="AV8" s="801"/>
      <c r="AW8" s="801"/>
      <c r="AX8" s="801"/>
      <c r="AY8" s="802"/>
      <c r="AZ8" s="811">
        <f>SUM(BA8:BK8)</f>
        <v>635517</v>
      </c>
      <c r="BA8" s="809">
        <f>AMPOP!J13</f>
        <v>635517</v>
      </c>
      <c r="BB8" s="801"/>
      <c r="BC8" s="801"/>
      <c r="BD8" s="801"/>
      <c r="BE8" s="801"/>
      <c r="BF8" s="801"/>
      <c r="BG8" s="801"/>
      <c r="BH8" s="801"/>
      <c r="BI8" s="801"/>
      <c r="BJ8" s="801"/>
      <c r="BK8" s="802"/>
      <c r="BL8" s="1"/>
      <c r="BM8" s="1"/>
      <c r="BN8" s="1"/>
      <c r="BO8" s="1"/>
      <c r="BP8" s="1"/>
      <c r="BQ8" s="1"/>
      <c r="BR8" s="1"/>
    </row>
    <row r="9" spans="1:70" s="288" customFormat="1" ht="34.5" customHeight="1">
      <c r="A9" s="189" t="s">
        <v>232</v>
      </c>
      <c r="B9" s="267"/>
      <c r="C9" s="186" t="s">
        <v>259</v>
      </c>
      <c r="D9" s="803">
        <f>D10+D11+D12</f>
        <v>1178166.1400000001</v>
      </c>
      <c r="E9" s="804">
        <f>E10+E11+E12</f>
        <v>1178166.1400000001</v>
      </c>
      <c r="F9" s="804">
        <f t="shared" ref="F9:O9" si="50">F10+F11+F12</f>
        <v>0</v>
      </c>
      <c r="G9" s="804">
        <f t="shared" si="50"/>
        <v>0</v>
      </c>
      <c r="H9" s="804">
        <f t="shared" si="50"/>
        <v>0</v>
      </c>
      <c r="I9" s="804">
        <f t="shared" si="50"/>
        <v>0</v>
      </c>
      <c r="J9" s="804">
        <f t="shared" si="50"/>
        <v>0</v>
      </c>
      <c r="K9" s="804">
        <f t="shared" si="50"/>
        <v>0</v>
      </c>
      <c r="L9" s="804">
        <f t="shared" si="50"/>
        <v>0</v>
      </c>
      <c r="M9" s="804">
        <f t="shared" si="50"/>
        <v>0</v>
      </c>
      <c r="N9" s="804">
        <f t="shared" si="50"/>
        <v>0</v>
      </c>
      <c r="O9" s="805">
        <f t="shared" si="50"/>
        <v>0</v>
      </c>
      <c r="P9" s="806">
        <f>P10+P11+P12</f>
        <v>1168054.5</v>
      </c>
      <c r="Q9" s="804">
        <f>Q10+Q11+Q12</f>
        <v>1168054.5</v>
      </c>
      <c r="R9" s="804">
        <f t="shared" ref="R9" si="51">R10+R11+R12</f>
        <v>0</v>
      </c>
      <c r="S9" s="804">
        <f t="shared" ref="S9" si="52">S10+S11+S12</f>
        <v>0</v>
      </c>
      <c r="T9" s="804">
        <f t="shared" ref="T9" si="53">T10+T11+T12</f>
        <v>0</v>
      </c>
      <c r="U9" s="804">
        <f t="shared" ref="U9" si="54">U10+U11+U12</f>
        <v>0</v>
      </c>
      <c r="V9" s="804">
        <f t="shared" ref="V9" si="55">V10+V11+V12</f>
        <v>0</v>
      </c>
      <c r="W9" s="804">
        <f t="shared" ref="W9" si="56">W10+W11+W12</f>
        <v>0</v>
      </c>
      <c r="X9" s="804">
        <f t="shared" ref="X9" si="57">X10+X11+X12</f>
        <v>0</v>
      </c>
      <c r="Y9" s="804">
        <f t="shared" ref="Y9" si="58">Y10+Y11+Y12</f>
        <v>0</v>
      </c>
      <c r="Z9" s="804">
        <f t="shared" ref="Z9" si="59">Z10+Z11+Z12</f>
        <v>0</v>
      </c>
      <c r="AA9" s="805">
        <f t="shared" ref="AA9" si="60">AA10+AA11+AA12</f>
        <v>0</v>
      </c>
      <c r="AB9" s="806">
        <f>AB10+AB11+AB12</f>
        <v>1195394.0115069451</v>
      </c>
      <c r="AC9" s="804">
        <f>AC10+AC11+AC12</f>
        <v>1195394.0115069451</v>
      </c>
      <c r="AD9" s="804">
        <f t="shared" ref="AD9" si="61">AD10+AD11+AD12</f>
        <v>0</v>
      </c>
      <c r="AE9" s="804">
        <f t="shared" ref="AE9" si="62">AE10+AE11+AE12</f>
        <v>0</v>
      </c>
      <c r="AF9" s="804">
        <f t="shared" ref="AF9" si="63">AF10+AF11+AF12</f>
        <v>0</v>
      </c>
      <c r="AG9" s="804">
        <f t="shared" ref="AG9" si="64">AG10+AG11+AG12</f>
        <v>0</v>
      </c>
      <c r="AH9" s="804">
        <f t="shared" ref="AH9" si="65">AH10+AH11+AH12</f>
        <v>0</v>
      </c>
      <c r="AI9" s="804">
        <f t="shared" ref="AI9" si="66">AI10+AI11+AI12</f>
        <v>0</v>
      </c>
      <c r="AJ9" s="804">
        <f t="shared" ref="AJ9" si="67">AJ10+AJ11+AJ12</f>
        <v>0</v>
      </c>
      <c r="AK9" s="804">
        <f t="shared" ref="AK9" si="68">AK10+AK11+AK12</f>
        <v>0</v>
      </c>
      <c r="AL9" s="804">
        <f t="shared" ref="AL9" si="69">AL10+AL11+AL12</f>
        <v>0</v>
      </c>
      <c r="AM9" s="805">
        <f t="shared" ref="AM9" si="70">AM10+AM11+AM12</f>
        <v>0</v>
      </c>
      <c r="AN9" s="806">
        <f>AN10+AN11+AN12</f>
        <v>1205297.6514630804</v>
      </c>
      <c r="AO9" s="804">
        <f>AO10+AO11+AO12</f>
        <v>1205297.6514630804</v>
      </c>
      <c r="AP9" s="804">
        <f t="shared" ref="AP9" si="71">AP10+AP11+AP12</f>
        <v>0</v>
      </c>
      <c r="AQ9" s="804">
        <f t="shared" ref="AQ9" si="72">AQ10+AQ11+AQ12</f>
        <v>0</v>
      </c>
      <c r="AR9" s="804">
        <f t="shared" ref="AR9" si="73">AR10+AR11+AR12</f>
        <v>0</v>
      </c>
      <c r="AS9" s="804">
        <f t="shared" ref="AS9" si="74">AS10+AS11+AS12</f>
        <v>0</v>
      </c>
      <c r="AT9" s="804">
        <f t="shared" ref="AT9" si="75">AT10+AT11+AT12</f>
        <v>0</v>
      </c>
      <c r="AU9" s="804">
        <f t="shared" ref="AU9" si="76">AU10+AU11+AU12</f>
        <v>0</v>
      </c>
      <c r="AV9" s="804">
        <f t="shared" ref="AV9" si="77">AV10+AV11+AV12</f>
        <v>0</v>
      </c>
      <c r="AW9" s="804">
        <f t="shared" ref="AW9" si="78">AW10+AW11+AW12</f>
        <v>0</v>
      </c>
      <c r="AX9" s="804">
        <f t="shared" ref="AX9" si="79">AX10+AX11+AX12</f>
        <v>0</v>
      </c>
      <c r="AY9" s="807">
        <f t="shared" ref="AY9" si="80">AY10+AY11+AY12</f>
        <v>0</v>
      </c>
      <c r="AZ9" s="806">
        <f>AZ10+AZ11+AZ12</f>
        <v>1213894.9512687006</v>
      </c>
      <c r="BA9" s="804">
        <f>BA10+BA11+BA12</f>
        <v>1213894.9512687006</v>
      </c>
      <c r="BB9" s="804">
        <f t="shared" ref="BB9" si="81">BB10+BB11+BB12</f>
        <v>0</v>
      </c>
      <c r="BC9" s="804">
        <f t="shared" ref="BC9" si="82">BC10+BC11+BC12</f>
        <v>0</v>
      </c>
      <c r="BD9" s="804">
        <f t="shared" ref="BD9" si="83">BD10+BD11+BD12</f>
        <v>0</v>
      </c>
      <c r="BE9" s="804">
        <f t="shared" ref="BE9" si="84">BE10+BE11+BE12</f>
        <v>0</v>
      </c>
      <c r="BF9" s="804">
        <f t="shared" ref="BF9" si="85">BF10+BF11+BF12</f>
        <v>0</v>
      </c>
      <c r="BG9" s="804">
        <f t="shared" ref="BG9" si="86">BG10+BG11+BG12</f>
        <v>0</v>
      </c>
      <c r="BH9" s="804">
        <f t="shared" ref="BH9" si="87">BH10+BH11+BH12</f>
        <v>0</v>
      </c>
      <c r="BI9" s="804">
        <f t="shared" ref="BI9" si="88">BI10+BI11+BI12</f>
        <v>0</v>
      </c>
      <c r="BJ9" s="804">
        <f t="shared" ref="BJ9" si="89">BJ10+BJ11+BJ12</f>
        <v>0</v>
      </c>
      <c r="BK9" s="807">
        <f t="shared" ref="BK9" si="90">BK10+BK11+BK12</f>
        <v>0</v>
      </c>
      <c r="BL9" s="1"/>
      <c r="BM9" s="1"/>
      <c r="BN9" s="1"/>
      <c r="BO9" s="1"/>
      <c r="BP9" s="1"/>
      <c r="BQ9" s="1"/>
      <c r="BR9" s="1"/>
    </row>
    <row r="10" spans="1:70" s="6" customFormat="1" ht="32.25" customHeight="1">
      <c r="A10" s="1725"/>
      <c r="B10" s="227">
        <v>11001</v>
      </c>
      <c r="C10" s="177" t="s">
        <v>260</v>
      </c>
      <c r="D10" s="812">
        <f>E10</f>
        <v>1066981.51</v>
      </c>
      <c r="E10" s="813">
        <f>AMPOP!F15</f>
        <v>1066981.51</v>
      </c>
      <c r="F10" s="801"/>
      <c r="G10" s="801"/>
      <c r="H10" s="801"/>
      <c r="I10" s="801"/>
      <c r="J10" s="801"/>
      <c r="K10" s="801"/>
      <c r="L10" s="801"/>
      <c r="M10" s="801"/>
      <c r="N10" s="801"/>
      <c r="O10" s="810"/>
      <c r="P10" s="814">
        <f>Q10</f>
        <v>1053075.6000000001</v>
      </c>
      <c r="Q10" s="813">
        <f>AMPOP!G15</f>
        <v>1053075.6000000001</v>
      </c>
      <c r="R10" s="801"/>
      <c r="S10" s="801"/>
      <c r="T10" s="801"/>
      <c r="U10" s="801"/>
      <c r="V10" s="801"/>
      <c r="W10" s="801"/>
      <c r="X10" s="801"/>
      <c r="Y10" s="801"/>
      <c r="Z10" s="801"/>
      <c r="AA10" s="810"/>
      <c r="AB10" s="814">
        <f>AC10</f>
        <v>1080412.7118768911</v>
      </c>
      <c r="AC10" s="813">
        <f>AMPOP!H15</f>
        <v>1080412.7118768911</v>
      </c>
      <c r="AD10" s="801"/>
      <c r="AE10" s="801"/>
      <c r="AF10" s="801"/>
      <c r="AG10" s="801"/>
      <c r="AH10" s="801"/>
      <c r="AI10" s="801"/>
      <c r="AJ10" s="801"/>
      <c r="AK10" s="801"/>
      <c r="AL10" s="801"/>
      <c r="AM10" s="810"/>
      <c r="AN10" s="814">
        <f>AO10</f>
        <v>1090316.3318330264</v>
      </c>
      <c r="AO10" s="813">
        <f>AMPOP!I15</f>
        <v>1090316.3318330264</v>
      </c>
      <c r="AP10" s="801"/>
      <c r="AQ10" s="801"/>
      <c r="AR10" s="801"/>
      <c r="AS10" s="801"/>
      <c r="AT10" s="801"/>
      <c r="AU10" s="801"/>
      <c r="AV10" s="801"/>
      <c r="AW10" s="801"/>
      <c r="AX10" s="801"/>
      <c r="AY10" s="802"/>
      <c r="AZ10" s="815">
        <f>BA10</f>
        <v>1098913.6316386466</v>
      </c>
      <c r="BA10" s="813">
        <f>AMPOP!J15</f>
        <v>1098913.6316386466</v>
      </c>
      <c r="BB10" s="801"/>
      <c r="BC10" s="801"/>
      <c r="BD10" s="801"/>
      <c r="BE10" s="801"/>
      <c r="BF10" s="801"/>
      <c r="BG10" s="801"/>
      <c r="BH10" s="801"/>
      <c r="BI10" s="801"/>
      <c r="BJ10" s="801"/>
      <c r="BK10" s="802"/>
      <c r="BL10" s="1"/>
      <c r="BM10" s="1"/>
      <c r="BN10" s="1"/>
      <c r="BO10" s="1"/>
      <c r="BP10" s="1"/>
      <c r="BQ10" s="1"/>
      <c r="BR10" s="1"/>
    </row>
    <row r="11" spans="1:70" s="6" customFormat="1" ht="24" customHeight="1">
      <c r="A11" s="1744"/>
      <c r="B11" s="227">
        <v>11002</v>
      </c>
      <c r="C11" s="179" t="s">
        <v>261</v>
      </c>
      <c r="D11" s="812">
        <f t="shared" ref="D11:D12" si="91">E11</f>
        <v>97486.33</v>
      </c>
      <c r="E11" s="813">
        <f>AMPOP!F16</f>
        <v>97486.33</v>
      </c>
      <c r="F11" s="801"/>
      <c r="G11" s="801"/>
      <c r="H11" s="801"/>
      <c r="I11" s="801"/>
      <c r="J11" s="801"/>
      <c r="K11" s="801"/>
      <c r="L11" s="801"/>
      <c r="M11" s="801"/>
      <c r="N11" s="801"/>
      <c r="O11" s="810"/>
      <c r="P11" s="814">
        <f t="shared" ref="P11:P12" si="92">Q11</f>
        <v>99042.7</v>
      </c>
      <c r="Q11" s="813">
        <f>AMPOP!G16</f>
        <v>99042.7</v>
      </c>
      <c r="R11" s="801"/>
      <c r="S11" s="801"/>
      <c r="T11" s="801"/>
      <c r="U11" s="801"/>
      <c r="V11" s="801"/>
      <c r="W11" s="801"/>
      <c r="X11" s="801"/>
      <c r="Y11" s="801"/>
      <c r="Z11" s="801"/>
      <c r="AA11" s="810"/>
      <c r="AB11" s="814">
        <f t="shared" ref="AB11:AB12" si="93">AC11</f>
        <v>99042.700430054028</v>
      </c>
      <c r="AC11" s="813">
        <f>AMPOP!H16</f>
        <v>99042.700430054028</v>
      </c>
      <c r="AD11" s="801"/>
      <c r="AE11" s="801"/>
      <c r="AF11" s="801"/>
      <c r="AG11" s="801"/>
      <c r="AH11" s="801"/>
      <c r="AI11" s="801"/>
      <c r="AJ11" s="801"/>
      <c r="AK11" s="801"/>
      <c r="AL11" s="801"/>
      <c r="AM11" s="810"/>
      <c r="AN11" s="814">
        <f t="shared" ref="AN11:AN12" si="94">AO11</f>
        <v>99042.720430054018</v>
      </c>
      <c r="AO11" s="813">
        <f>AMPOP!I16</f>
        <v>99042.720430054018</v>
      </c>
      <c r="AP11" s="801"/>
      <c r="AQ11" s="801"/>
      <c r="AR11" s="801"/>
      <c r="AS11" s="801"/>
      <c r="AT11" s="801"/>
      <c r="AU11" s="801"/>
      <c r="AV11" s="801"/>
      <c r="AW11" s="801"/>
      <c r="AX11" s="801"/>
      <c r="AY11" s="802"/>
      <c r="AZ11" s="815">
        <f t="shared" ref="AZ11:AZ12" si="95">BA11</f>
        <v>99042.720430054018</v>
      </c>
      <c r="BA11" s="813">
        <f>AMPOP!J16</f>
        <v>99042.720430054018</v>
      </c>
      <c r="BB11" s="801"/>
      <c r="BC11" s="801"/>
      <c r="BD11" s="801"/>
      <c r="BE11" s="801"/>
      <c r="BF11" s="801"/>
      <c r="BG11" s="801"/>
      <c r="BH11" s="801"/>
      <c r="BI11" s="801"/>
      <c r="BJ11" s="801"/>
      <c r="BK11" s="802"/>
      <c r="BL11" s="1"/>
      <c r="BM11" s="1"/>
      <c r="BN11" s="1"/>
      <c r="BO11" s="1"/>
      <c r="BP11" s="1"/>
      <c r="BQ11" s="1"/>
      <c r="BR11" s="1"/>
    </row>
    <row r="12" spans="1:70" s="6" customFormat="1" ht="28.5" customHeight="1">
      <c r="A12" s="1726"/>
      <c r="B12" s="227">
        <v>31001</v>
      </c>
      <c r="C12" s="177" t="s">
        <v>262</v>
      </c>
      <c r="D12" s="812">
        <f t="shared" si="91"/>
        <v>13698.3</v>
      </c>
      <c r="E12" s="813">
        <f>AMPOP!F17</f>
        <v>13698.3</v>
      </c>
      <c r="F12" s="801"/>
      <c r="G12" s="801"/>
      <c r="H12" s="801"/>
      <c r="I12" s="801"/>
      <c r="J12" s="801"/>
      <c r="K12" s="801"/>
      <c r="L12" s="801"/>
      <c r="M12" s="801"/>
      <c r="N12" s="801"/>
      <c r="O12" s="810"/>
      <c r="P12" s="814">
        <f t="shared" si="92"/>
        <v>15936.2</v>
      </c>
      <c r="Q12" s="813">
        <f>AMPOP!G17</f>
        <v>15936.2</v>
      </c>
      <c r="R12" s="801"/>
      <c r="S12" s="801"/>
      <c r="T12" s="801"/>
      <c r="U12" s="801"/>
      <c r="V12" s="801"/>
      <c r="W12" s="801"/>
      <c r="X12" s="801"/>
      <c r="Y12" s="801"/>
      <c r="Z12" s="801"/>
      <c r="AA12" s="810"/>
      <c r="AB12" s="814">
        <f t="shared" si="93"/>
        <v>15938.599199999999</v>
      </c>
      <c r="AC12" s="813">
        <f>AMPOP!H17</f>
        <v>15938.599199999999</v>
      </c>
      <c r="AD12" s="801"/>
      <c r="AE12" s="801"/>
      <c r="AF12" s="801"/>
      <c r="AG12" s="801"/>
      <c r="AH12" s="801"/>
      <c r="AI12" s="801"/>
      <c r="AJ12" s="801"/>
      <c r="AK12" s="801"/>
      <c r="AL12" s="801"/>
      <c r="AM12" s="810"/>
      <c r="AN12" s="814">
        <f t="shared" si="94"/>
        <v>15938.599199999999</v>
      </c>
      <c r="AO12" s="813">
        <f>AMPOP!I17</f>
        <v>15938.599199999999</v>
      </c>
      <c r="AP12" s="801"/>
      <c r="AQ12" s="801"/>
      <c r="AR12" s="801"/>
      <c r="AS12" s="801"/>
      <c r="AT12" s="801"/>
      <c r="AU12" s="801"/>
      <c r="AV12" s="801"/>
      <c r="AW12" s="801"/>
      <c r="AX12" s="801"/>
      <c r="AY12" s="802"/>
      <c r="AZ12" s="815">
        <f t="shared" si="95"/>
        <v>15938.599199999999</v>
      </c>
      <c r="BA12" s="813">
        <f>AMPOP!J17</f>
        <v>15938.599199999999</v>
      </c>
      <c r="BB12" s="801"/>
      <c r="BC12" s="801"/>
      <c r="BD12" s="801"/>
      <c r="BE12" s="801"/>
      <c r="BF12" s="801"/>
      <c r="BG12" s="801"/>
      <c r="BH12" s="801"/>
      <c r="BI12" s="801"/>
      <c r="BJ12" s="801"/>
      <c r="BK12" s="802"/>
      <c r="BL12" s="1"/>
      <c r="BM12" s="1"/>
      <c r="BN12" s="1"/>
      <c r="BO12" s="1"/>
      <c r="BP12" s="1"/>
      <c r="BQ12" s="1"/>
      <c r="BR12" s="1"/>
    </row>
    <row r="13" spans="1:70" s="289" customFormat="1" ht="24" customHeight="1">
      <c r="A13" s="190" t="s">
        <v>233</v>
      </c>
      <c r="B13" s="223"/>
      <c r="C13" s="185" t="s">
        <v>234</v>
      </c>
      <c r="D13" s="803">
        <f>D14</f>
        <v>149471.4</v>
      </c>
      <c r="E13" s="804">
        <f t="shared" ref="E13:N13" si="96">E14</f>
        <v>0</v>
      </c>
      <c r="F13" s="804">
        <f t="shared" si="96"/>
        <v>0</v>
      </c>
      <c r="G13" s="804">
        <f t="shared" si="96"/>
        <v>3124.4</v>
      </c>
      <c r="H13" s="804">
        <f t="shared" si="96"/>
        <v>4670</v>
      </c>
      <c r="I13" s="804">
        <f t="shared" si="96"/>
        <v>0</v>
      </c>
      <c r="J13" s="804">
        <f t="shared" si="96"/>
        <v>103863.3</v>
      </c>
      <c r="K13" s="804">
        <f t="shared" si="96"/>
        <v>524.29999999999995</v>
      </c>
      <c r="L13" s="804">
        <f t="shared" si="96"/>
        <v>37289.4</v>
      </c>
      <c r="M13" s="804">
        <f t="shared" si="96"/>
        <v>0</v>
      </c>
      <c r="N13" s="804">
        <f t="shared" si="96"/>
        <v>0</v>
      </c>
      <c r="O13" s="805">
        <f>O14</f>
        <v>0</v>
      </c>
      <c r="P13" s="806">
        <f>P14</f>
        <v>0</v>
      </c>
      <c r="Q13" s="804">
        <f t="shared" ref="Q13" si="97">Q14</f>
        <v>0</v>
      </c>
      <c r="R13" s="804">
        <f t="shared" ref="R13" si="98">R14</f>
        <v>0</v>
      </c>
      <c r="S13" s="804">
        <f t="shared" ref="S13" si="99">S14</f>
        <v>0</v>
      </c>
      <c r="T13" s="804">
        <f t="shared" ref="T13" si="100">T14</f>
        <v>0</v>
      </c>
      <c r="U13" s="804">
        <f t="shared" ref="U13" si="101">U14</f>
        <v>0</v>
      </c>
      <c r="V13" s="804">
        <f t="shared" ref="V13" si="102">V14</f>
        <v>0</v>
      </c>
      <c r="W13" s="804">
        <f t="shared" ref="W13" si="103">W14</f>
        <v>0</v>
      </c>
      <c r="X13" s="804">
        <f t="shared" ref="X13" si="104">X14</f>
        <v>0</v>
      </c>
      <c r="Y13" s="804">
        <f t="shared" ref="Y13" si="105">Y14</f>
        <v>0</v>
      </c>
      <c r="Z13" s="804">
        <f t="shared" ref="Z13" si="106">Z14</f>
        <v>0</v>
      </c>
      <c r="AA13" s="805">
        <f>AA14</f>
        <v>0</v>
      </c>
      <c r="AB13" s="806">
        <f>AB14</f>
        <v>633955</v>
      </c>
      <c r="AC13" s="804">
        <f t="shared" ref="AC13" si="107">AC14</f>
        <v>633955</v>
      </c>
      <c r="AD13" s="804">
        <f t="shared" ref="AD13" si="108">AD14</f>
        <v>0</v>
      </c>
      <c r="AE13" s="804">
        <f t="shared" ref="AE13" si="109">AE14</f>
        <v>0</v>
      </c>
      <c r="AF13" s="804">
        <f t="shared" ref="AF13" si="110">AF14</f>
        <v>0</v>
      </c>
      <c r="AG13" s="804">
        <f t="shared" ref="AG13" si="111">AG14</f>
        <v>0</v>
      </c>
      <c r="AH13" s="804">
        <f t="shared" ref="AH13" si="112">AH14</f>
        <v>0</v>
      </c>
      <c r="AI13" s="804">
        <f t="shared" ref="AI13" si="113">AI14</f>
        <v>0</v>
      </c>
      <c r="AJ13" s="804">
        <f t="shared" ref="AJ13" si="114">AJ14</f>
        <v>0</v>
      </c>
      <c r="AK13" s="804">
        <f t="shared" ref="AK13" si="115">AK14</f>
        <v>0</v>
      </c>
      <c r="AL13" s="804">
        <f t="shared" ref="AL13" si="116">AL14</f>
        <v>0</v>
      </c>
      <c r="AM13" s="805">
        <f>AM14</f>
        <v>0</v>
      </c>
      <c r="AN13" s="806">
        <f>AN14</f>
        <v>65193.4</v>
      </c>
      <c r="AO13" s="804">
        <f t="shared" ref="AO13" si="117">AO14</f>
        <v>65193.4</v>
      </c>
      <c r="AP13" s="804">
        <f t="shared" ref="AP13" si="118">AP14</f>
        <v>0</v>
      </c>
      <c r="AQ13" s="804">
        <f t="shared" ref="AQ13" si="119">AQ14</f>
        <v>0</v>
      </c>
      <c r="AR13" s="804">
        <f t="shared" ref="AR13" si="120">AR14</f>
        <v>0</v>
      </c>
      <c r="AS13" s="804">
        <f t="shared" ref="AS13" si="121">AS14</f>
        <v>0</v>
      </c>
      <c r="AT13" s="804">
        <f t="shared" ref="AT13" si="122">AT14</f>
        <v>0</v>
      </c>
      <c r="AU13" s="804">
        <f t="shared" ref="AU13" si="123">AU14</f>
        <v>0</v>
      </c>
      <c r="AV13" s="804">
        <f t="shared" ref="AV13" si="124">AV14</f>
        <v>0</v>
      </c>
      <c r="AW13" s="804">
        <f t="shared" ref="AW13" si="125">AW14</f>
        <v>0</v>
      </c>
      <c r="AX13" s="804">
        <f t="shared" ref="AX13" si="126">AX14</f>
        <v>0</v>
      </c>
      <c r="AY13" s="807">
        <f>AY14</f>
        <v>0</v>
      </c>
      <c r="AZ13" s="806">
        <f>AZ14</f>
        <v>7613.6</v>
      </c>
      <c r="BA13" s="804">
        <f t="shared" ref="BA13" si="127">BA14</f>
        <v>7613.6</v>
      </c>
      <c r="BB13" s="804">
        <f t="shared" ref="BB13" si="128">BB14</f>
        <v>0</v>
      </c>
      <c r="BC13" s="804">
        <f t="shared" ref="BC13" si="129">BC14</f>
        <v>0</v>
      </c>
      <c r="BD13" s="804">
        <f t="shared" ref="BD13" si="130">BD14</f>
        <v>0</v>
      </c>
      <c r="BE13" s="804">
        <f t="shared" ref="BE13" si="131">BE14</f>
        <v>0</v>
      </c>
      <c r="BF13" s="804">
        <f t="shared" ref="BF13" si="132">BF14</f>
        <v>0</v>
      </c>
      <c r="BG13" s="804">
        <f t="shared" ref="BG13" si="133">BG14</f>
        <v>0</v>
      </c>
      <c r="BH13" s="804">
        <f t="shared" ref="BH13" si="134">BH14</f>
        <v>0</v>
      </c>
      <c r="BI13" s="804">
        <f t="shared" ref="BI13" si="135">BI14</f>
        <v>0</v>
      </c>
      <c r="BJ13" s="804">
        <f t="shared" ref="BJ13" si="136">BJ14</f>
        <v>0</v>
      </c>
      <c r="BK13" s="807">
        <f>BK14</f>
        <v>0</v>
      </c>
      <c r="BL13" s="1"/>
      <c r="BM13" s="1"/>
      <c r="BN13" s="1"/>
      <c r="BO13" s="1"/>
      <c r="BP13" s="1"/>
      <c r="BQ13" s="1"/>
      <c r="BR13" s="1"/>
    </row>
    <row r="14" spans="1:70" s="7" customFormat="1" ht="23.25" customHeight="1">
      <c r="A14" s="191"/>
      <c r="B14" s="228">
        <v>12001</v>
      </c>
      <c r="C14" s="180" t="s">
        <v>235</v>
      </c>
      <c r="D14" s="808">
        <f>SUM(E14:O14)</f>
        <v>149471.4</v>
      </c>
      <c r="E14" s="816"/>
      <c r="F14" s="817"/>
      <c r="G14" s="817">
        <v>3124.4</v>
      </c>
      <c r="H14" s="818">
        <v>4670</v>
      </c>
      <c r="I14" s="816"/>
      <c r="J14" s="818">
        <v>103863.3</v>
      </c>
      <c r="K14" s="818">
        <v>524.29999999999995</v>
      </c>
      <c r="L14" s="818">
        <v>37289.4</v>
      </c>
      <c r="M14" s="816"/>
      <c r="N14" s="819"/>
      <c r="O14" s="820"/>
      <c r="P14" s="811">
        <f>SUM(Q14:AA14)</f>
        <v>0</v>
      </c>
      <c r="Q14" s="816"/>
      <c r="R14" s="817"/>
      <c r="S14" s="817"/>
      <c r="T14" s="818"/>
      <c r="U14" s="816"/>
      <c r="V14" s="818"/>
      <c r="W14" s="818"/>
      <c r="X14" s="818"/>
      <c r="Y14" s="816"/>
      <c r="Z14" s="819"/>
      <c r="AA14" s="820"/>
      <c r="AB14" s="811">
        <f>SUM(AC14:AM14)</f>
        <v>633955</v>
      </c>
      <c r="AC14" s="811">
        <f>AMPOP!H19</f>
        <v>633955</v>
      </c>
      <c r="AD14" s="817"/>
      <c r="AE14" s="817"/>
      <c r="AF14" s="818"/>
      <c r="AG14" s="816"/>
      <c r="AH14" s="818"/>
      <c r="AI14" s="818"/>
      <c r="AJ14" s="818"/>
      <c r="AK14" s="816"/>
      <c r="AL14" s="819"/>
      <c r="AM14" s="820"/>
      <c r="AN14" s="811">
        <f>SUM(AO14:AY14)</f>
        <v>65193.4</v>
      </c>
      <c r="AO14" s="811">
        <f>AMPOP!I19</f>
        <v>65193.4</v>
      </c>
      <c r="AP14" s="817"/>
      <c r="AQ14" s="817"/>
      <c r="AR14" s="818"/>
      <c r="AS14" s="816"/>
      <c r="AT14" s="818"/>
      <c r="AU14" s="818"/>
      <c r="AV14" s="818"/>
      <c r="AW14" s="816"/>
      <c r="AX14" s="819"/>
      <c r="AY14" s="821"/>
      <c r="AZ14" s="811">
        <f>SUM(BA14:BK14)</f>
        <v>7613.6</v>
      </c>
      <c r="BA14" s="822">
        <f>AMPOP!J19</f>
        <v>7613.6</v>
      </c>
      <c r="BB14" s="823"/>
      <c r="BC14" s="823"/>
      <c r="BD14" s="813"/>
      <c r="BE14" s="822"/>
      <c r="BF14" s="813"/>
      <c r="BG14" s="813"/>
      <c r="BH14" s="813"/>
      <c r="BI14" s="822"/>
      <c r="BJ14" s="819"/>
      <c r="BK14" s="821"/>
      <c r="BL14" s="1"/>
      <c r="BM14" s="1"/>
      <c r="BN14" s="1"/>
      <c r="BO14" s="1"/>
      <c r="BP14" s="1"/>
      <c r="BQ14" s="1"/>
      <c r="BR14" s="1"/>
    </row>
    <row r="15" spans="1:70" s="290" customFormat="1" ht="33" customHeight="1">
      <c r="A15" s="189" t="s">
        <v>236</v>
      </c>
      <c r="B15" s="267"/>
      <c r="C15" s="186" t="s">
        <v>237</v>
      </c>
      <c r="D15" s="803">
        <f>D16+D17+D18+D19+D20+D21+D22+D23+D24+D25+D26+D27+D28</f>
        <v>1735985.36</v>
      </c>
      <c r="E15" s="804">
        <f t="shared" ref="E15:O15" si="137">E16+E17+E18+E19+E20+E21+E22+E23+E24+E25+E26+E27+E28</f>
        <v>7000</v>
      </c>
      <c r="F15" s="804">
        <f t="shared" si="137"/>
        <v>0</v>
      </c>
      <c r="G15" s="804">
        <f t="shared" si="137"/>
        <v>188497.7</v>
      </c>
      <c r="H15" s="804">
        <f t="shared" si="137"/>
        <v>0</v>
      </c>
      <c r="I15" s="804">
        <f t="shared" si="137"/>
        <v>493758.46</v>
      </c>
      <c r="J15" s="804">
        <f t="shared" si="137"/>
        <v>0</v>
      </c>
      <c r="K15" s="804">
        <f t="shared" si="137"/>
        <v>190339.5</v>
      </c>
      <c r="L15" s="804">
        <f t="shared" si="137"/>
        <v>565943.10000000009</v>
      </c>
      <c r="M15" s="804">
        <f t="shared" si="137"/>
        <v>0</v>
      </c>
      <c r="N15" s="804">
        <f t="shared" si="137"/>
        <v>73869.100000000006</v>
      </c>
      <c r="O15" s="805">
        <f t="shared" si="137"/>
        <v>216577.5</v>
      </c>
      <c r="P15" s="806">
        <f>P16+P17+P18+P19+P20+P21+P22+P23+P24+P25+P26+P27+P28</f>
        <v>2840595.9000000004</v>
      </c>
      <c r="Q15" s="804">
        <f t="shared" ref="Q15" si="138">Q16+Q17+Q18+Q19+Q20+Q21+Q22+Q23+Q24+Q25+Q26+Q27+Q28</f>
        <v>7000</v>
      </c>
      <c r="R15" s="804">
        <f t="shared" ref="R15" si="139">R16+R17+R18+R19+R20+R21+R22+R23+R24+R25+R26+R27+R28</f>
        <v>0</v>
      </c>
      <c r="S15" s="804">
        <f t="shared" ref="S15" si="140">S16+S17+S18+S19+S20+S21+S22+S23+S24+S25+S26+S27+S28</f>
        <v>152887.29999999999</v>
      </c>
      <c r="T15" s="804">
        <f t="shared" ref="T15" si="141">T16+T17+T18+T19+T20+T21+T22+T23+T24+T25+T26+T27+T28</f>
        <v>0</v>
      </c>
      <c r="U15" s="804">
        <f t="shared" ref="U15" si="142">U16+U17+U18+U19+U20+U21+U22+U23+U24+U25+U26+U27+U28</f>
        <v>519760.5</v>
      </c>
      <c r="V15" s="804">
        <f t="shared" ref="V15" si="143">V16+V17+V18+V19+V20+V21+V22+V23+V24+V25+V26+V27+V28</f>
        <v>0</v>
      </c>
      <c r="W15" s="804">
        <f t="shared" ref="W15" si="144">W16+W17+W18+W19+W20+W21+W22+W23+W24+W25+W26+W27+W28</f>
        <v>169254.1</v>
      </c>
      <c r="X15" s="804">
        <f t="shared" ref="X15" si="145">X16+X17+X18+X19+X20+X21+X22+X23+X24+X25+X26+X27+X28</f>
        <v>1755896.2</v>
      </c>
      <c r="Y15" s="804">
        <f t="shared" ref="Y15" si="146">Y16+Y17+Y18+Y19+Y20+Y21+Y22+Y23+Y24+Y25+Y26+Y27+Y28</f>
        <v>0</v>
      </c>
      <c r="Z15" s="804">
        <f t="shared" ref="Z15" si="147">Z16+Z17+Z18+Z19+Z20+Z21+Z22+Z23+Z24+Z25+Z26+Z27+Z28</f>
        <v>55404.9</v>
      </c>
      <c r="AA15" s="805">
        <f t="shared" ref="AA15" si="148">AA16+AA17+AA18+AA19+AA20+AA21+AA22+AA23+AA24+AA25+AA26+AA27+AA28</f>
        <v>180392.9</v>
      </c>
      <c r="AB15" s="806">
        <f>AB16+AB17+AB18+AB19+AB20+AB21+AB22+AB23+AB24+AB25+AB26+AB27+AB28</f>
        <v>3574038.9400000004</v>
      </c>
      <c r="AC15" s="804">
        <f t="shared" ref="AC15" si="149">AC16+AC17+AC18+AC19+AC20+AC21+AC22+AC23+AC24+AC25+AC26+AC27+AC28</f>
        <v>7000</v>
      </c>
      <c r="AD15" s="804">
        <f t="shared" ref="AD15" si="150">AD16+AD17+AD18+AD19+AD20+AD21+AD22+AD23+AD24+AD25+AD26+AD27+AD28</f>
        <v>0</v>
      </c>
      <c r="AE15" s="804">
        <f t="shared" ref="AE15" si="151">AE16+AE17+AE18+AE19+AE20+AE21+AE22+AE23+AE24+AE25+AE26+AE27+AE28</f>
        <v>171532.79999999999</v>
      </c>
      <c r="AF15" s="804">
        <f t="shared" ref="AF15" si="152">AF16+AF17+AF18+AF19+AF20+AF21+AF22+AF23+AF24+AF25+AF26+AF27+AF28</f>
        <v>0</v>
      </c>
      <c r="AG15" s="804">
        <f t="shared" ref="AG15" si="153">AG16+AG17+AG18+AG19+AG20+AG21+AG22+AG23+AG24+AG25+AG26+AG27+AG28</f>
        <v>528292.19999999995</v>
      </c>
      <c r="AH15" s="804">
        <f t="shared" ref="AH15" si="154">AH16+AH17+AH18+AH19+AH20+AH21+AH22+AH23+AH24+AH25+AH26+AH27+AH28</f>
        <v>0</v>
      </c>
      <c r="AI15" s="804">
        <f t="shared" ref="AI15" si="155">AI16+AI17+AI18+AI19+AI20+AI21+AI22+AI23+AI24+AI25+AI26+AI27+AI28</f>
        <v>388284.1</v>
      </c>
      <c r="AJ15" s="804">
        <f t="shared" ref="AJ15" si="156">AJ16+AJ17+AJ18+AJ19+AJ20+AJ21+AJ22+AJ23+AJ24+AJ25+AJ26+AJ27+AJ28</f>
        <v>2227772.04</v>
      </c>
      <c r="AK15" s="804">
        <f t="shared" ref="AK15" si="157">AK16+AK17+AK18+AK19+AK20+AK21+AK22+AK23+AK24+AK25+AK26+AK27+AK28</f>
        <v>0</v>
      </c>
      <c r="AL15" s="804">
        <f t="shared" ref="AL15" si="158">AL16+AL17+AL18+AL19+AL20+AL21+AL22+AL23+AL24+AL25+AL26+AL27+AL28</f>
        <v>70764.899999999994</v>
      </c>
      <c r="AM15" s="805">
        <f t="shared" ref="AM15" si="159">AM16+AM17+AM18+AM19+AM20+AM21+AM22+AM23+AM24+AM25+AM26+AM27+AM28</f>
        <v>180392.9</v>
      </c>
      <c r="AN15" s="806">
        <f>AN16+AN17+AN18+AN19+AN20+AN21+AN22+AN23+AN24+AN25+AN26+AN27+AN28</f>
        <v>1515791.1</v>
      </c>
      <c r="AO15" s="804">
        <f t="shared" ref="AO15" si="160">AO16+AO17+AO18+AO19+AO20+AO21+AO22+AO23+AO24+AO25+AO26+AO27+AO28</f>
        <v>7000</v>
      </c>
      <c r="AP15" s="804">
        <f t="shared" ref="AP15" si="161">AP16+AP17+AP18+AP19+AP20+AP21+AP22+AP23+AP24+AP25+AP26+AP27+AP28</f>
        <v>0</v>
      </c>
      <c r="AQ15" s="804">
        <f t="shared" ref="AQ15" si="162">AQ16+AQ17+AQ18+AQ19+AQ20+AQ21+AQ22+AQ23+AQ24+AQ25+AQ26+AQ27+AQ28</f>
        <v>171532.79999999999</v>
      </c>
      <c r="AR15" s="804">
        <f t="shared" ref="AR15" si="163">AR16+AR17+AR18+AR19+AR20+AR21+AR22+AR23+AR24+AR25+AR26+AR27+AR28</f>
        <v>0</v>
      </c>
      <c r="AS15" s="804">
        <f t="shared" ref="AS15" si="164">AS16+AS17+AS18+AS19+AS20+AS21+AS22+AS23+AS24+AS25+AS26+AS27+AS28</f>
        <v>528292.19999999995</v>
      </c>
      <c r="AT15" s="804">
        <f t="shared" ref="AT15" si="165">AT16+AT17+AT18+AT19+AT20+AT21+AT22+AT23+AT24+AT25+AT26+AT27+AT28</f>
        <v>0</v>
      </c>
      <c r="AU15" s="804">
        <f t="shared" ref="AU15" si="166">AU16+AU17+AU18+AU19+AU20+AU21+AU22+AU23+AU24+AU25+AU26+AU27+AU28</f>
        <v>388284.1</v>
      </c>
      <c r="AV15" s="804">
        <f t="shared" ref="AV15" si="167">AV16+AV17+AV18+AV19+AV20+AV21+AV22+AV23+AV24+AV25+AV26+AV27+AV28</f>
        <v>169524.2</v>
      </c>
      <c r="AW15" s="804">
        <f t="shared" ref="AW15" si="168">AW16+AW17+AW18+AW19+AW20+AW21+AW22+AW23+AW24+AW25+AW26+AW27+AW28</f>
        <v>0</v>
      </c>
      <c r="AX15" s="804">
        <f t="shared" ref="AX15" si="169">AX16+AX17+AX18+AX19+AX20+AX21+AX22+AX23+AX24+AX25+AX26+AX27+AX28</f>
        <v>70764.899999999994</v>
      </c>
      <c r="AY15" s="807">
        <f t="shared" ref="AY15" si="170">AY16+AY17+AY18+AY19+AY20+AY21+AY22+AY23+AY24+AY25+AY26+AY27+AY28</f>
        <v>180392.9</v>
      </c>
      <c r="AZ15" s="806">
        <f>AZ16+AZ17+AZ18+AZ19+AZ20+AZ21+AZ22+AZ23+AZ24+AZ25+AZ26+AZ27+AZ28</f>
        <v>1515791.1</v>
      </c>
      <c r="BA15" s="804">
        <f t="shared" ref="BA15" si="171">BA16+BA17+BA18+BA19+BA20+BA21+BA22+BA23+BA24+BA25+BA26+BA27+BA28</f>
        <v>7000</v>
      </c>
      <c r="BB15" s="804">
        <f t="shared" ref="BB15" si="172">BB16+BB17+BB18+BB19+BB20+BB21+BB22+BB23+BB24+BB25+BB26+BB27+BB28</f>
        <v>0</v>
      </c>
      <c r="BC15" s="804">
        <f t="shared" ref="BC15" si="173">BC16+BC17+BC18+BC19+BC20+BC21+BC22+BC23+BC24+BC25+BC26+BC27+BC28</f>
        <v>171532.79999999999</v>
      </c>
      <c r="BD15" s="804">
        <f t="shared" ref="BD15" si="174">BD16+BD17+BD18+BD19+BD20+BD21+BD22+BD23+BD24+BD25+BD26+BD27+BD28</f>
        <v>0</v>
      </c>
      <c r="BE15" s="804">
        <f t="shared" ref="BE15" si="175">BE16+BE17+BE18+BE19+BE20+BE21+BE22+BE23+BE24+BE25+BE26+BE27+BE28</f>
        <v>528292.19999999995</v>
      </c>
      <c r="BF15" s="804">
        <f t="shared" ref="BF15" si="176">BF16+BF17+BF18+BF19+BF20+BF21+BF22+BF23+BF24+BF25+BF26+BF27+BF28</f>
        <v>0</v>
      </c>
      <c r="BG15" s="804">
        <f t="shared" ref="BG15" si="177">BG16+BG17+BG18+BG19+BG20+BG21+BG22+BG23+BG24+BG25+BG26+BG27+BG28</f>
        <v>388284.1</v>
      </c>
      <c r="BH15" s="804">
        <f t="shared" ref="BH15" si="178">BH16+BH17+BH18+BH19+BH20+BH21+BH22+BH23+BH24+BH25+BH26+BH27+BH28</f>
        <v>169524.2</v>
      </c>
      <c r="BI15" s="804">
        <f t="shared" ref="BI15" si="179">BI16+BI17+BI18+BI19+BI20+BI21+BI22+BI23+BI24+BI25+BI26+BI27+BI28</f>
        <v>0</v>
      </c>
      <c r="BJ15" s="804">
        <f t="shared" ref="BJ15" si="180">BJ16+BJ17+BJ18+BJ19+BJ20+BJ21+BJ22+BJ23+BJ24+BJ25+BJ26+BJ27+BJ28</f>
        <v>70764.899999999994</v>
      </c>
      <c r="BK15" s="807">
        <f t="shared" ref="BK15" si="181">BK16+BK17+BK18+BK19+BK20+BK21+BK22+BK23+BK24+BK25+BK26+BK27+BK28</f>
        <v>180392.9</v>
      </c>
      <c r="BL15" s="1"/>
      <c r="BM15" s="1"/>
      <c r="BN15" s="1"/>
      <c r="BO15" s="1"/>
      <c r="BP15" s="1"/>
      <c r="BQ15" s="1"/>
      <c r="BR15" s="1"/>
    </row>
    <row r="16" spans="1:70" s="7" customFormat="1" ht="57.75" customHeight="1">
      <c r="A16" s="192"/>
      <c r="B16" s="229">
        <v>11001</v>
      </c>
      <c r="C16" s="179" t="s">
        <v>238</v>
      </c>
      <c r="D16" s="808">
        <f>SUM(E16:O16)</f>
        <v>361660.37</v>
      </c>
      <c r="E16" s="816"/>
      <c r="F16" s="816"/>
      <c r="G16" s="816"/>
      <c r="H16" s="816"/>
      <c r="I16" s="816"/>
      <c r="J16" s="816"/>
      <c r="K16" s="816"/>
      <c r="L16" s="818">
        <f>AMPOP!F21</f>
        <v>361660.37</v>
      </c>
      <c r="M16" s="816"/>
      <c r="N16" s="819"/>
      <c r="O16" s="820"/>
      <c r="P16" s="811">
        <f>SUM(Q16:AA16)</f>
        <v>423154.3</v>
      </c>
      <c r="Q16" s="816"/>
      <c r="R16" s="816"/>
      <c r="S16" s="816"/>
      <c r="T16" s="816"/>
      <c r="U16" s="816"/>
      <c r="V16" s="816"/>
      <c r="W16" s="816"/>
      <c r="X16" s="818">
        <f>AMPOP!G21</f>
        <v>423154.3</v>
      </c>
      <c r="Y16" s="816"/>
      <c r="Z16" s="819"/>
      <c r="AA16" s="820"/>
      <c r="AB16" s="811">
        <f>SUM(AC16:AM16)</f>
        <v>546828.93999999994</v>
      </c>
      <c r="AC16" s="816"/>
      <c r="AD16" s="816"/>
      <c r="AE16" s="816"/>
      <c r="AF16" s="816"/>
      <c r="AG16" s="816"/>
      <c r="AH16" s="816"/>
      <c r="AI16" s="816"/>
      <c r="AJ16" s="818">
        <f>AMPOP!H21</f>
        <v>546828.93999999994</v>
      </c>
      <c r="AK16" s="816"/>
      <c r="AL16" s="819"/>
      <c r="AM16" s="820"/>
      <c r="AN16" s="811">
        <f>SUM(AO16:AY16)</f>
        <v>0</v>
      </c>
      <c r="AO16" s="816"/>
      <c r="AP16" s="816"/>
      <c r="AQ16" s="816"/>
      <c r="AR16" s="816"/>
      <c r="AS16" s="816"/>
      <c r="AT16" s="816"/>
      <c r="AU16" s="816"/>
      <c r="AV16" s="818">
        <f>AMPOP!I21</f>
        <v>0</v>
      </c>
      <c r="AW16" s="816"/>
      <c r="AX16" s="819"/>
      <c r="AY16" s="821"/>
      <c r="AZ16" s="811">
        <f>SUM(BA16:BK16)</f>
        <v>0</v>
      </c>
      <c r="BA16" s="822"/>
      <c r="BB16" s="822"/>
      <c r="BC16" s="822"/>
      <c r="BD16" s="822"/>
      <c r="BE16" s="822"/>
      <c r="BF16" s="822"/>
      <c r="BG16" s="822"/>
      <c r="BH16" s="813">
        <f>AMPOP!J21</f>
        <v>0</v>
      </c>
      <c r="BI16" s="822"/>
      <c r="BJ16" s="819"/>
      <c r="BK16" s="821"/>
      <c r="BL16" s="1"/>
      <c r="BM16" s="1"/>
      <c r="BN16" s="1"/>
      <c r="BO16" s="1"/>
      <c r="BP16" s="1"/>
      <c r="BQ16" s="1"/>
      <c r="BR16" s="1"/>
    </row>
    <row r="17" spans="1:70" s="7" customFormat="1" ht="23.25" customHeight="1">
      <c r="A17" s="193"/>
      <c r="B17" s="229">
        <v>11002</v>
      </c>
      <c r="C17" s="179" t="s">
        <v>239</v>
      </c>
      <c r="D17" s="808">
        <f>SUM(E17:O17)</f>
        <v>114375.76</v>
      </c>
      <c r="E17" s="816"/>
      <c r="F17" s="816"/>
      <c r="G17" s="816"/>
      <c r="H17" s="816"/>
      <c r="I17" s="818">
        <f>AMPOP!F22</f>
        <v>114375.76</v>
      </c>
      <c r="J17" s="816"/>
      <c r="K17" s="816"/>
      <c r="L17" s="816"/>
      <c r="M17" s="816"/>
      <c r="N17" s="819"/>
      <c r="O17" s="820"/>
      <c r="P17" s="811">
        <f>SUM(Q17:AA17)</f>
        <v>208238.5</v>
      </c>
      <c r="Q17" s="816"/>
      <c r="R17" s="816"/>
      <c r="S17" s="816"/>
      <c r="T17" s="816"/>
      <c r="U17" s="818">
        <f>AMPOP!G22</f>
        <v>208238.5</v>
      </c>
      <c r="V17" s="816"/>
      <c r="W17" s="816"/>
      <c r="X17" s="816"/>
      <c r="Y17" s="816"/>
      <c r="Z17" s="819"/>
      <c r="AA17" s="820"/>
      <c r="AB17" s="811">
        <f>SUM(AC17:AM17)</f>
        <v>216804.1</v>
      </c>
      <c r="AC17" s="816"/>
      <c r="AD17" s="816"/>
      <c r="AE17" s="816"/>
      <c r="AF17" s="816"/>
      <c r="AG17" s="818">
        <f>AMPOP!H22</f>
        <v>216804.1</v>
      </c>
      <c r="AH17" s="816"/>
      <c r="AI17" s="816"/>
      <c r="AJ17" s="816"/>
      <c r="AK17" s="816"/>
      <c r="AL17" s="819"/>
      <c r="AM17" s="820"/>
      <c r="AN17" s="811">
        <f>SUM(AO17:AY17)</f>
        <v>216804.1</v>
      </c>
      <c r="AO17" s="816"/>
      <c r="AP17" s="816"/>
      <c r="AQ17" s="816"/>
      <c r="AR17" s="816"/>
      <c r="AS17" s="818">
        <f>AMPOP!I22</f>
        <v>216804.1</v>
      </c>
      <c r="AT17" s="816"/>
      <c r="AU17" s="816"/>
      <c r="AV17" s="816"/>
      <c r="AW17" s="816"/>
      <c r="AX17" s="819"/>
      <c r="AY17" s="821"/>
      <c r="AZ17" s="811">
        <f>SUM(BA17:BK17)</f>
        <v>216804.1</v>
      </c>
      <c r="BA17" s="822"/>
      <c r="BB17" s="822"/>
      <c r="BC17" s="822"/>
      <c r="BD17" s="822"/>
      <c r="BE17" s="813">
        <f>AMPOP!J22</f>
        <v>216804.1</v>
      </c>
      <c r="BF17" s="822"/>
      <c r="BG17" s="822"/>
      <c r="BH17" s="822"/>
      <c r="BI17" s="822"/>
      <c r="BJ17" s="819"/>
      <c r="BK17" s="821"/>
      <c r="BL17" s="1"/>
      <c r="BM17" s="1"/>
      <c r="BN17" s="1"/>
      <c r="BO17" s="1"/>
      <c r="BP17" s="1"/>
      <c r="BQ17" s="1"/>
      <c r="BR17" s="1"/>
    </row>
    <row r="18" spans="1:70" s="7" customFormat="1" ht="33.75" customHeight="1">
      <c r="A18" s="193"/>
      <c r="B18" s="229">
        <v>11003</v>
      </c>
      <c r="C18" s="179" t="s">
        <v>240</v>
      </c>
      <c r="D18" s="808">
        <f>SUM(E18:O18)</f>
        <v>6690</v>
      </c>
      <c r="E18" s="816"/>
      <c r="F18" s="816"/>
      <c r="G18" s="816"/>
      <c r="H18" s="816"/>
      <c r="I18" s="818">
        <f>AMPOP!F23</f>
        <v>6690</v>
      </c>
      <c r="J18" s="816"/>
      <c r="K18" s="816"/>
      <c r="L18" s="816"/>
      <c r="M18" s="816"/>
      <c r="N18" s="819"/>
      <c r="O18" s="820"/>
      <c r="P18" s="811">
        <f t="shared" ref="P18:P28" si="182">SUM(Q18:AA18)</f>
        <v>7624.3</v>
      </c>
      <c r="Q18" s="816"/>
      <c r="R18" s="816"/>
      <c r="S18" s="816"/>
      <c r="T18" s="816"/>
      <c r="U18" s="818">
        <f>AMPOP!G23</f>
        <v>7624.3</v>
      </c>
      <c r="V18" s="816"/>
      <c r="W18" s="816"/>
      <c r="X18" s="816"/>
      <c r="Y18" s="816"/>
      <c r="Z18" s="819"/>
      <c r="AA18" s="820"/>
      <c r="AB18" s="811">
        <f t="shared" ref="AB18:AB28" si="183">SUM(AC18:AM18)</f>
        <v>7590.4</v>
      </c>
      <c r="AC18" s="816"/>
      <c r="AD18" s="816"/>
      <c r="AE18" s="816"/>
      <c r="AF18" s="816"/>
      <c r="AG18" s="818">
        <f>AMPOP!H23</f>
        <v>7590.4</v>
      </c>
      <c r="AH18" s="816"/>
      <c r="AI18" s="816"/>
      <c r="AJ18" s="816"/>
      <c r="AK18" s="816"/>
      <c r="AL18" s="819"/>
      <c r="AM18" s="820"/>
      <c r="AN18" s="811">
        <f t="shared" ref="AN18:AN28" si="184">SUM(AO18:AY18)</f>
        <v>7590.4</v>
      </c>
      <c r="AO18" s="816"/>
      <c r="AP18" s="816"/>
      <c r="AQ18" s="816"/>
      <c r="AR18" s="816"/>
      <c r="AS18" s="818">
        <f>AMPOP!I23</f>
        <v>7590.4</v>
      </c>
      <c r="AT18" s="816"/>
      <c r="AU18" s="816"/>
      <c r="AV18" s="816"/>
      <c r="AW18" s="816"/>
      <c r="AX18" s="819"/>
      <c r="AY18" s="821"/>
      <c r="AZ18" s="811">
        <f t="shared" ref="AZ18:AZ28" si="185">SUM(BA18:BK18)</f>
        <v>7590.4</v>
      </c>
      <c r="BA18" s="822"/>
      <c r="BB18" s="822"/>
      <c r="BC18" s="822"/>
      <c r="BD18" s="822"/>
      <c r="BE18" s="813">
        <f>AMPOP!J23</f>
        <v>7590.4</v>
      </c>
      <c r="BF18" s="822"/>
      <c r="BG18" s="822"/>
      <c r="BH18" s="822"/>
      <c r="BI18" s="822"/>
      <c r="BJ18" s="819"/>
      <c r="BK18" s="821"/>
      <c r="BL18" s="1"/>
      <c r="BM18" s="1"/>
      <c r="BN18" s="1"/>
      <c r="BO18" s="1"/>
      <c r="BP18" s="1"/>
      <c r="BQ18" s="1"/>
      <c r="BR18" s="1"/>
    </row>
    <row r="19" spans="1:70" s="7" customFormat="1" ht="36.75" customHeight="1">
      <c r="A19" s="193"/>
      <c r="B19" s="229">
        <v>11004</v>
      </c>
      <c r="C19" s="177" t="s">
        <v>241</v>
      </c>
      <c r="D19" s="808">
        <f>SUM(E19:O19)</f>
        <v>372692.7</v>
      </c>
      <c r="E19" s="816"/>
      <c r="F19" s="816"/>
      <c r="G19" s="816"/>
      <c r="H19" s="816"/>
      <c r="I19" s="818">
        <f>AMPOP!F24</f>
        <v>372692.7</v>
      </c>
      <c r="J19" s="816"/>
      <c r="K19" s="816"/>
      <c r="L19" s="816"/>
      <c r="M19" s="816"/>
      <c r="N19" s="819"/>
      <c r="O19" s="820"/>
      <c r="P19" s="811">
        <f t="shared" si="182"/>
        <v>303897.7</v>
      </c>
      <c r="Q19" s="816"/>
      <c r="R19" s="816"/>
      <c r="S19" s="816"/>
      <c r="T19" s="816"/>
      <c r="U19" s="818">
        <f>AMPOP!G24</f>
        <v>303897.7</v>
      </c>
      <c r="V19" s="816"/>
      <c r="W19" s="816"/>
      <c r="X19" s="816"/>
      <c r="Y19" s="816"/>
      <c r="Z19" s="819"/>
      <c r="AA19" s="820"/>
      <c r="AB19" s="811">
        <f t="shared" si="183"/>
        <v>303897.7</v>
      </c>
      <c r="AC19" s="816"/>
      <c r="AD19" s="816"/>
      <c r="AE19" s="816"/>
      <c r="AF19" s="816"/>
      <c r="AG19" s="818">
        <f>AMPOP!H24</f>
        <v>303897.7</v>
      </c>
      <c r="AH19" s="816"/>
      <c r="AI19" s="816"/>
      <c r="AJ19" s="816"/>
      <c r="AK19" s="816"/>
      <c r="AL19" s="819"/>
      <c r="AM19" s="820"/>
      <c r="AN19" s="811">
        <f t="shared" si="184"/>
        <v>303897.7</v>
      </c>
      <c r="AO19" s="816"/>
      <c r="AP19" s="816"/>
      <c r="AQ19" s="816"/>
      <c r="AR19" s="816"/>
      <c r="AS19" s="818">
        <f>AMPOP!I24</f>
        <v>303897.7</v>
      </c>
      <c r="AT19" s="816"/>
      <c r="AU19" s="816"/>
      <c r="AV19" s="816"/>
      <c r="AW19" s="816"/>
      <c r="AX19" s="819"/>
      <c r="AY19" s="821"/>
      <c r="AZ19" s="811">
        <f t="shared" si="185"/>
        <v>303897.7</v>
      </c>
      <c r="BA19" s="822"/>
      <c r="BB19" s="822"/>
      <c r="BC19" s="822"/>
      <c r="BD19" s="822"/>
      <c r="BE19" s="813">
        <f>AMPOP!J24</f>
        <v>303897.7</v>
      </c>
      <c r="BF19" s="822"/>
      <c r="BG19" s="822"/>
      <c r="BH19" s="822"/>
      <c r="BI19" s="822"/>
      <c r="BJ19" s="819"/>
      <c r="BK19" s="821"/>
      <c r="BL19" s="1"/>
      <c r="BM19" s="1"/>
      <c r="BN19" s="1"/>
      <c r="BO19" s="1"/>
      <c r="BP19" s="1"/>
      <c r="BQ19" s="1"/>
      <c r="BR19" s="1"/>
    </row>
    <row r="20" spans="1:70" s="15" customFormat="1" ht="33.75" customHeight="1">
      <c r="A20" s="193"/>
      <c r="B20" s="229">
        <v>11005</v>
      </c>
      <c r="C20" s="179" t="s">
        <v>242</v>
      </c>
      <c r="D20" s="808">
        <f>SUM(E20:O20)</f>
        <v>201475.3</v>
      </c>
      <c r="E20" s="801"/>
      <c r="F20" s="801"/>
      <c r="G20" s="801"/>
      <c r="H20" s="801"/>
      <c r="I20" s="801"/>
      <c r="J20" s="801"/>
      <c r="K20" s="801"/>
      <c r="L20" s="801"/>
      <c r="M20" s="801"/>
      <c r="N20" s="801"/>
      <c r="O20" s="810">
        <f>AMPOP!F25</f>
        <v>201475.3</v>
      </c>
      <c r="P20" s="811">
        <f t="shared" si="182"/>
        <v>164366.29999999999</v>
      </c>
      <c r="Q20" s="813"/>
      <c r="R20" s="813"/>
      <c r="S20" s="813"/>
      <c r="T20" s="813"/>
      <c r="U20" s="813"/>
      <c r="V20" s="813"/>
      <c r="W20" s="813"/>
      <c r="X20" s="813"/>
      <c r="Y20" s="813"/>
      <c r="Z20" s="813"/>
      <c r="AA20" s="824">
        <f>AMPOP!G25</f>
        <v>164366.29999999999</v>
      </c>
      <c r="AB20" s="811">
        <f t="shared" si="183"/>
        <v>164366.29999999999</v>
      </c>
      <c r="AC20" s="813"/>
      <c r="AD20" s="813"/>
      <c r="AE20" s="813"/>
      <c r="AF20" s="813"/>
      <c r="AG20" s="813"/>
      <c r="AH20" s="813"/>
      <c r="AI20" s="813"/>
      <c r="AJ20" s="813"/>
      <c r="AK20" s="813"/>
      <c r="AL20" s="813"/>
      <c r="AM20" s="824">
        <f>AMPOP!H25</f>
        <v>164366.29999999999</v>
      </c>
      <c r="AN20" s="811">
        <f t="shared" si="184"/>
        <v>164366.29999999999</v>
      </c>
      <c r="AO20" s="813"/>
      <c r="AP20" s="813"/>
      <c r="AQ20" s="813"/>
      <c r="AR20" s="813"/>
      <c r="AS20" s="813"/>
      <c r="AT20" s="813"/>
      <c r="AU20" s="813"/>
      <c r="AV20" s="813"/>
      <c r="AW20" s="813"/>
      <c r="AX20" s="813"/>
      <c r="AY20" s="825">
        <f>AMPOP!I25</f>
        <v>164366.29999999999</v>
      </c>
      <c r="AZ20" s="811">
        <f t="shared" si="185"/>
        <v>164366.29999999999</v>
      </c>
      <c r="BA20" s="813"/>
      <c r="BB20" s="813"/>
      <c r="BC20" s="813"/>
      <c r="BD20" s="813"/>
      <c r="BE20" s="813"/>
      <c r="BF20" s="813"/>
      <c r="BG20" s="813"/>
      <c r="BH20" s="813"/>
      <c r="BI20" s="813"/>
      <c r="BJ20" s="813"/>
      <c r="BK20" s="825">
        <f>AMPOP!J25</f>
        <v>164366.29999999999</v>
      </c>
      <c r="BL20" s="1"/>
      <c r="BM20" s="1"/>
      <c r="BN20" s="1"/>
      <c r="BO20" s="1"/>
      <c r="BP20" s="1"/>
      <c r="BQ20" s="1"/>
      <c r="BR20" s="1"/>
    </row>
    <row r="21" spans="1:70" ht="36" customHeight="1">
      <c r="A21" s="193"/>
      <c r="B21" s="229">
        <v>11006</v>
      </c>
      <c r="C21" s="179" t="s">
        <v>243</v>
      </c>
      <c r="D21" s="808">
        <f t="shared" ref="D21:D25" si="186">SUM(E21:O21)</f>
        <v>190339.5</v>
      </c>
      <c r="E21" s="826"/>
      <c r="F21" s="826"/>
      <c r="G21" s="826"/>
      <c r="H21" s="826"/>
      <c r="I21" s="826"/>
      <c r="J21" s="826"/>
      <c r="K21" s="826">
        <f>AMPOP!F26</f>
        <v>190339.5</v>
      </c>
      <c r="L21" s="826"/>
      <c r="M21" s="826"/>
      <c r="N21" s="827"/>
      <c r="O21" s="828"/>
      <c r="P21" s="811">
        <f t="shared" si="182"/>
        <v>169254.1</v>
      </c>
      <c r="Q21" s="826"/>
      <c r="R21" s="826"/>
      <c r="S21" s="826"/>
      <c r="T21" s="826"/>
      <c r="U21" s="826"/>
      <c r="V21" s="826"/>
      <c r="W21" s="826">
        <f>AMPOP!G26</f>
        <v>169254.1</v>
      </c>
      <c r="X21" s="826"/>
      <c r="Y21" s="826"/>
      <c r="Z21" s="827"/>
      <c r="AA21" s="828"/>
      <c r="AB21" s="811">
        <f t="shared" si="183"/>
        <v>388284.1</v>
      </c>
      <c r="AC21" s="826"/>
      <c r="AD21" s="826"/>
      <c r="AE21" s="826"/>
      <c r="AF21" s="826"/>
      <c r="AG21" s="826"/>
      <c r="AH21" s="826"/>
      <c r="AI21" s="826">
        <f>AMPOP!H26</f>
        <v>388284.1</v>
      </c>
      <c r="AJ21" s="826"/>
      <c r="AK21" s="826"/>
      <c r="AL21" s="827"/>
      <c r="AM21" s="828"/>
      <c r="AN21" s="811">
        <f t="shared" si="184"/>
        <v>388284.1</v>
      </c>
      <c r="AO21" s="826"/>
      <c r="AP21" s="826"/>
      <c r="AQ21" s="826"/>
      <c r="AR21" s="826"/>
      <c r="AS21" s="826"/>
      <c r="AT21" s="826"/>
      <c r="AU21" s="826">
        <f>AMPOP!I26</f>
        <v>388284.1</v>
      </c>
      <c r="AV21" s="826"/>
      <c r="AW21" s="826"/>
      <c r="AX21" s="827"/>
      <c r="AY21" s="829"/>
      <c r="AZ21" s="811">
        <f t="shared" si="185"/>
        <v>388284.1</v>
      </c>
      <c r="BA21" s="813"/>
      <c r="BB21" s="813"/>
      <c r="BC21" s="813"/>
      <c r="BD21" s="813"/>
      <c r="BE21" s="813"/>
      <c r="BF21" s="813"/>
      <c r="BG21" s="813">
        <f>AMPOP!J26</f>
        <v>388284.1</v>
      </c>
      <c r="BH21" s="813"/>
      <c r="BI21" s="813"/>
      <c r="BJ21" s="819"/>
      <c r="BK21" s="821"/>
      <c r="BL21" s="1"/>
      <c r="BM21" s="1"/>
      <c r="BN21" s="1"/>
      <c r="BO21" s="1"/>
      <c r="BP21" s="1"/>
      <c r="BQ21" s="1"/>
      <c r="BR21" s="1"/>
    </row>
    <row r="22" spans="1:70" ht="31.5" customHeight="1">
      <c r="A22" s="193"/>
      <c r="B22" s="229">
        <v>11007</v>
      </c>
      <c r="C22" s="179" t="s">
        <v>244</v>
      </c>
      <c r="D22" s="808">
        <f t="shared" si="186"/>
        <v>188497.7</v>
      </c>
      <c r="E22" s="826"/>
      <c r="F22" s="826"/>
      <c r="G22" s="826">
        <f>AMPOP!F27</f>
        <v>188497.7</v>
      </c>
      <c r="H22" s="826"/>
      <c r="I22" s="826"/>
      <c r="J22" s="826"/>
      <c r="K22" s="826"/>
      <c r="L22" s="826"/>
      <c r="M22" s="826"/>
      <c r="N22" s="827"/>
      <c r="O22" s="828"/>
      <c r="P22" s="811">
        <f t="shared" si="182"/>
        <v>152887.29999999999</v>
      </c>
      <c r="Q22" s="826"/>
      <c r="R22" s="826"/>
      <c r="S22" s="826">
        <f>AMPOP!G27</f>
        <v>152887.29999999999</v>
      </c>
      <c r="T22" s="826"/>
      <c r="U22" s="826"/>
      <c r="V22" s="826"/>
      <c r="W22" s="826"/>
      <c r="X22" s="826"/>
      <c r="Y22" s="826"/>
      <c r="Z22" s="827"/>
      <c r="AA22" s="828"/>
      <c r="AB22" s="811">
        <f t="shared" si="183"/>
        <v>171532.79999999999</v>
      </c>
      <c r="AC22" s="826"/>
      <c r="AD22" s="826"/>
      <c r="AE22" s="826">
        <f>AMPOP!H27</f>
        <v>171532.79999999999</v>
      </c>
      <c r="AF22" s="826"/>
      <c r="AG22" s="826"/>
      <c r="AH22" s="826"/>
      <c r="AI22" s="826"/>
      <c r="AJ22" s="826"/>
      <c r="AK22" s="826"/>
      <c r="AL22" s="827"/>
      <c r="AM22" s="828"/>
      <c r="AN22" s="811">
        <f t="shared" si="184"/>
        <v>171532.79999999999</v>
      </c>
      <c r="AO22" s="826"/>
      <c r="AP22" s="826"/>
      <c r="AQ22" s="826">
        <f>AMPOP!I27</f>
        <v>171532.79999999999</v>
      </c>
      <c r="AR22" s="826"/>
      <c r="AS22" s="826"/>
      <c r="AT22" s="826"/>
      <c r="AU22" s="826"/>
      <c r="AV22" s="826"/>
      <c r="AW22" s="826"/>
      <c r="AX22" s="827"/>
      <c r="AY22" s="829"/>
      <c r="AZ22" s="811">
        <f t="shared" si="185"/>
        <v>171532.79999999999</v>
      </c>
      <c r="BA22" s="813"/>
      <c r="BB22" s="813"/>
      <c r="BC22" s="813">
        <f>AMPOP!J27</f>
        <v>171532.79999999999</v>
      </c>
      <c r="BD22" s="813"/>
      <c r="BE22" s="813"/>
      <c r="BF22" s="813"/>
      <c r="BG22" s="813"/>
      <c r="BH22" s="813"/>
      <c r="BI22" s="813"/>
      <c r="BJ22" s="819"/>
      <c r="BK22" s="821"/>
      <c r="BL22" s="1"/>
      <c r="BM22" s="1"/>
      <c r="BN22" s="1"/>
      <c r="BO22" s="1"/>
      <c r="BP22" s="1"/>
      <c r="BQ22" s="1"/>
      <c r="BR22" s="1"/>
    </row>
    <row r="23" spans="1:70" s="3" customFormat="1" ht="27">
      <c r="A23" s="194"/>
      <c r="B23" s="229">
        <v>11008</v>
      </c>
      <c r="C23" s="179" t="s">
        <v>263</v>
      </c>
      <c r="D23" s="808">
        <f t="shared" si="186"/>
        <v>73869.100000000006</v>
      </c>
      <c r="E23" s="801"/>
      <c r="F23" s="801"/>
      <c r="G23" s="801"/>
      <c r="H23" s="801"/>
      <c r="I23" s="801"/>
      <c r="J23" s="801"/>
      <c r="K23" s="801"/>
      <c r="L23" s="801"/>
      <c r="M23" s="801"/>
      <c r="N23" s="801">
        <f>AMPOP!F28</f>
        <v>73869.100000000006</v>
      </c>
      <c r="O23" s="810"/>
      <c r="P23" s="811">
        <f t="shared" si="182"/>
        <v>55404.9</v>
      </c>
      <c r="Q23" s="813"/>
      <c r="R23" s="813"/>
      <c r="S23" s="813"/>
      <c r="T23" s="813"/>
      <c r="U23" s="813"/>
      <c r="V23" s="813"/>
      <c r="W23" s="813"/>
      <c r="X23" s="813"/>
      <c r="Y23" s="813"/>
      <c r="Z23" s="813">
        <f>AMPOP!G28</f>
        <v>55404.9</v>
      </c>
      <c r="AA23" s="824"/>
      <c r="AB23" s="811">
        <f t="shared" si="183"/>
        <v>70764.899999999994</v>
      </c>
      <c r="AC23" s="813"/>
      <c r="AD23" s="813"/>
      <c r="AE23" s="813"/>
      <c r="AF23" s="813"/>
      <c r="AG23" s="813"/>
      <c r="AH23" s="813"/>
      <c r="AI23" s="813"/>
      <c r="AJ23" s="813"/>
      <c r="AK23" s="813"/>
      <c r="AL23" s="813">
        <f>AMPOP!H28</f>
        <v>70764.899999999994</v>
      </c>
      <c r="AM23" s="824"/>
      <c r="AN23" s="811">
        <f t="shared" si="184"/>
        <v>70764.899999999994</v>
      </c>
      <c r="AO23" s="813"/>
      <c r="AP23" s="813"/>
      <c r="AQ23" s="813"/>
      <c r="AR23" s="813"/>
      <c r="AS23" s="813"/>
      <c r="AT23" s="813"/>
      <c r="AU23" s="813"/>
      <c r="AV23" s="813"/>
      <c r="AW23" s="813"/>
      <c r="AX23" s="813">
        <f>AMPOP!I28</f>
        <v>70764.899999999994</v>
      </c>
      <c r="AY23" s="825"/>
      <c r="AZ23" s="811">
        <f t="shared" si="185"/>
        <v>70764.899999999994</v>
      </c>
      <c r="BA23" s="813"/>
      <c r="BB23" s="813"/>
      <c r="BC23" s="813"/>
      <c r="BD23" s="813"/>
      <c r="BE23" s="813"/>
      <c r="BF23" s="813"/>
      <c r="BG23" s="813"/>
      <c r="BH23" s="813"/>
      <c r="BI23" s="813"/>
      <c r="BJ23" s="813">
        <f>AMPOP!J28</f>
        <v>70764.899999999994</v>
      </c>
      <c r="BK23" s="825"/>
      <c r="BL23" s="1"/>
      <c r="BM23" s="1"/>
      <c r="BN23" s="1"/>
      <c r="BO23" s="1"/>
      <c r="BP23" s="1"/>
      <c r="BQ23" s="1"/>
      <c r="BR23" s="1"/>
    </row>
    <row r="24" spans="1:70" s="10" customFormat="1" ht="18" customHeight="1">
      <c r="A24" s="192"/>
      <c r="B24" s="230">
        <v>11009</v>
      </c>
      <c r="C24" s="181" t="s">
        <v>264</v>
      </c>
      <c r="D24" s="808">
        <f t="shared" si="186"/>
        <v>15102.2</v>
      </c>
      <c r="E24" s="830"/>
      <c r="F24" s="830"/>
      <c r="G24" s="830"/>
      <c r="H24" s="830"/>
      <c r="I24" s="830"/>
      <c r="J24" s="830"/>
      <c r="K24" s="830"/>
      <c r="L24" s="830"/>
      <c r="M24" s="830"/>
      <c r="N24" s="830"/>
      <c r="O24" s="831">
        <f>AMPOP!F29</f>
        <v>15102.2</v>
      </c>
      <c r="P24" s="811">
        <f t="shared" si="182"/>
        <v>16026.6</v>
      </c>
      <c r="Q24" s="830"/>
      <c r="R24" s="830"/>
      <c r="S24" s="830"/>
      <c r="T24" s="830"/>
      <c r="U24" s="830"/>
      <c r="V24" s="830"/>
      <c r="W24" s="830"/>
      <c r="X24" s="830"/>
      <c r="Y24" s="830"/>
      <c r="Z24" s="830"/>
      <c r="AA24" s="831">
        <f>AMPOP!G29</f>
        <v>16026.6</v>
      </c>
      <c r="AB24" s="811">
        <f t="shared" si="183"/>
        <v>16026.6</v>
      </c>
      <c r="AC24" s="830"/>
      <c r="AD24" s="830"/>
      <c r="AE24" s="830"/>
      <c r="AF24" s="830"/>
      <c r="AG24" s="830"/>
      <c r="AH24" s="830"/>
      <c r="AI24" s="830"/>
      <c r="AJ24" s="830"/>
      <c r="AK24" s="830"/>
      <c r="AL24" s="830"/>
      <c r="AM24" s="831">
        <f>AMPOP!H29</f>
        <v>16026.6</v>
      </c>
      <c r="AN24" s="811">
        <f t="shared" si="184"/>
        <v>16026.6</v>
      </c>
      <c r="AO24" s="830"/>
      <c r="AP24" s="830"/>
      <c r="AQ24" s="830"/>
      <c r="AR24" s="830"/>
      <c r="AS24" s="830"/>
      <c r="AT24" s="830"/>
      <c r="AU24" s="830"/>
      <c r="AV24" s="830"/>
      <c r="AW24" s="830"/>
      <c r="AX24" s="830"/>
      <c r="AY24" s="832">
        <f>AMPOP!I29</f>
        <v>16026.6</v>
      </c>
      <c r="AZ24" s="811">
        <f t="shared" si="185"/>
        <v>16026.6</v>
      </c>
      <c r="BA24" s="833"/>
      <c r="BB24" s="833"/>
      <c r="BC24" s="833"/>
      <c r="BD24" s="833"/>
      <c r="BE24" s="833"/>
      <c r="BF24" s="833"/>
      <c r="BG24" s="833"/>
      <c r="BH24" s="833"/>
      <c r="BI24" s="833"/>
      <c r="BJ24" s="833"/>
      <c r="BK24" s="834">
        <f>AMPOP!J29</f>
        <v>16026.6</v>
      </c>
      <c r="BL24" s="1"/>
      <c r="BM24" s="1"/>
      <c r="BN24" s="1"/>
      <c r="BO24" s="1"/>
      <c r="BP24" s="1"/>
      <c r="BQ24" s="1"/>
      <c r="BR24" s="1"/>
    </row>
    <row r="25" spans="1:70" s="3" customFormat="1" ht="27.75" customHeight="1">
      <c r="A25" s="193"/>
      <c r="B25" s="229">
        <v>11010</v>
      </c>
      <c r="C25" s="179" t="s">
        <v>245</v>
      </c>
      <c r="D25" s="808">
        <f t="shared" si="186"/>
        <v>201288.2</v>
      </c>
      <c r="E25" s="801"/>
      <c r="F25" s="801"/>
      <c r="G25" s="801"/>
      <c r="H25" s="801"/>
      <c r="I25" s="801"/>
      <c r="J25" s="801"/>
      <c r="K25" s="801"/>
      <c r="L25" s="801">
        <f>AMPOP!F30</f>
        <v>201288.2</v>
      </c>
      <c r="M25" s="801"/>
      <c r="N25" s="801"/>
      <c r="O25" s="810"/>
      <c r="P25" s="811">
        <f t="shared" si="182"/>
        <v>169524.2</v>
      </c>
      <c r="Q25" s="813"/>
      <c r="R25" s="813"/>
      <c r="S25" s="813"/>
      <c r="T25" s="813"/>
      <c r="U25" s="813"/>
      <c r="V25" s="813"/>
      <c r="W25" s="813"/>
      <c r="X25" s="813">
        <f>AMPOP!G30</f>
        <v>169524.2</v>
      </c>
      <c r="Y25" s="813"/>
      <c r="Z25" s="813"/>
      <c r="AA25" s="824"/>
      <c r="AB25" s="811">
        <f t="shared" si="183"/>
        <v>169524.2</v>
      </c>
      <c r="AC25" s="813"/>
      <c r="AD25" s="813"/>
      <c r="AE25" s="813"/>
      <c r="AF25" s="813"/>
      <c r="AG25" s="813"/>
      <c r="AH25" s="813"/>
      <c r="AI25" s="813"/>
      <c r="AJ25" s="813">
        <f>AMPOP!H30</f>
        <v>169524.2</v>
      </c>
      <c r="AK25" s="813"/>
      <c r="AL25" s="813"/>
      <c r="AM25" s="824"/>
      <c r="AN25" s="811">
        <f t="shared" si="184"/>
        <v>169524.2</v>
      </c>
      <c r="AO25" s="813"/>
      <c r="AP25" s="813"/>
      <c r="AQ25" s="813"/>
      <c r="AR25" s="813"/>
      <c r="AS25" s="813"/>
      <c r="AT25" s="813"/>
      <c r="AU25" s="813"/>
      <c r="AV25" s="813">
        <f>AMPOP!I30</f>
        <v>169524.2</v>
      </c>
      <c r="AW25" s="813"/>
      <c r="AX25" s="813"/>
      <c r="AY25" s="825"/>
      <c r="AZ25" s="811">
        <f t="shared" si="185"/>
        <v>169524.2</v>
      </c>
      <c r="BA25" s="813"/>
      <c r="BB25" s="813"/>
      <c r="BC25" s="813"/>
      <c r="BD25" s="813"/>
      <c r="BE25" s="813"/>
      <c r="BF25" s="813"/>
      <c r="BG25" s="813"/>
      <c r="BH25" s="813">
        <f>AMPOP!J30</f>
        <v>169524.2</v>
      </c>
      <c r="BI25" s="813"/>
      <c r="BJ25" s="813"/>
      <c r="BK25" s="825"/>
      <c r="BL25" s="1"/>
      <c r="BM25" s="1"/>
      <c r="BN25" s="1"/>
      <c r="BO25" s="1"/>
      <c r="BP25" s="1"/>
      <c r="BQ25" s="1"/>
      <c r="BR25" s="1"/>
    </row>
    <row r="26" spans="1:70" ht="30" customHeight="1">
      <c r="A26" s="193"/>
      <c r="B26" s="229">
        <v>12001</v>
      </c>
      <c r="C26" s="177" t="s">
        <v>19</v>
      </c>
      <c r="D26" s="808">
        <f>SUM(E26:O26)</f>
        <v>7000</v>
      </c>
      <c r="E26" s="826">
        <f>AMPOP!F31</f>
        <v>7000</v>
      </c>
      <c r="F26" s="826"/>
      <c r="G26" s="826"/>
      <c r="H26" s="826"/>
      <c r="I26" s="826"/>
      <c r="J26" s="826"/>
      <c r="K26" s="826"/>
      <c r="L26" s="826"/>
      <c r="M26" s="826"/>
      <c r="N26" s="827"/>
      <c r="O26" s="828"/>
      <c r="P26" s="811">
        <f t="shared" si="182"/>
        <v>7000</v>
      </c>
      <c r="Q26" s="826">
        <f>AMPOP!G31</f>
        <v>7000</v>
      </c>
      <c r="R26" s="826"/>
      <c r="S26" s="826"/>
      <c r="T26" s="826"/>
      <c r="U26" s="826"/>
      <c r="V26" s="826"/>
      <c r="W26" s="826"/>
      <c r="X26" s="826"/>
      <c r="Y26" s="826"/>
      <c r="Z26" s="827"/>
      <c r="AA26" s="828"/>
      <c r="AB26" s="811">
        <f t="shared" si="183"/>
        <v>7000</v>
      </c>
      <c r="AC26" s="826">
        <f>AMPOP!H31</f>
        <v>7000</v>
      </c>
      <c r="AD26" s="826"/>
      <c r="AE26" s="826"/>
      <c r="AF26" s="826"/>
      <c r="AG26" s="826"/>
      <c r="AH26" s="826"/>
      <c r="AI26" s="826"/>
      <c r="AJ26" s="826"/>
      <c r="AK26" s="826"/>
      <c r="AL26" s="827"/>
      <c r="AM26" s="828"/>
      <c r="AN26" s="811">
        <f t="shared" si="184"/>
        <v>7000</v>
      </c>
      <c r="AO26" s="826">
        <f>AMPOP!I31</f>
        <v>7000</v>
      </c>
      <c r="AP26" s="826"/>
      <c r="AQ26" s="826"/>
      <c r="AR26" s="826"/>
      <c r="AS26" s="826"/>
      <c r="AT26" s="826"/>
      <c r="AU26" s="826"/>
      <c r="AV26" s="826"/>
      <c r="AW26" s="826"/>
      <c r="AX26" s="827"/>
      <c r="AY26" s="829"/>
      <c r="AZ26" s="811">
        <f t="shared" si="185"/>
        <v>7000</v>
      </c>
      <c r="BA26" s="813">
        <f>AMPOP!J31</f>
        <v>7000</v>
      </c>
      <c r="BB26" s="813"/>
      <c r="BC26" s="813"/>
      <c r="BD26" s="813"/>
      <c r="BE26" s="813"/>
      <c r="BF26" s="813"/>
      <c r="BG26" s="813"/>
      <c r="BH26" s="813"/>
      <c r="BI26" s="813"/>
      <c r="BJ26" s="819"/>
      <c r="BK26" s="821"/>
      <c r="BL26" s="1"/>
      <c r="BM26" s="1"/>
      <c r="BN26" s="1"/>
      <c r="BO26" s="1"/>
      <c r="BP26" s="1"/>
      <c r="BQ26" s="1"/>
      <c r="BR26" s="1"/>
    </row>
    <row r="27" spans="1:70" ht="58.5" customHeight="1">
      <c r="A27" s="193"/>
      <c r="B27" s="229">
        <v>12002</v>
      </c>
      <c r="C27" s="179" t="s">
        <v>246</v>
      </c>
      <c r="D27" s="808">
        <v>0</v>
      </c>
      <c r="E27" s="826"/>
      <c r="F27" s="826"/>
      <c r="G27" s="826"/>
      <c r="H27" s="826"/>
      <c r="I27" s="826"/>
      <c r="J27" s="826"/>
      <c r="K27" s="826"/>
      <c r="L27" s="826"/>
      <c r="M27" s="826"/>
      <c r="N27" s="827"/>
      <c r="O27" s="828"/>
      <c r="P27" s="811">
        <f t="shared" si="182"/>
        <v>493680</v>
      </c>
      <c r="Q27" s="826"/>
      <c r="R27" s="826"/>
      <c r="S27" s="826"/>
      <c r="T27" s="826"/>
      <c r="U27" s="826"/>
      <c r="V27" s="826"/>
      <c r="W27" s="826"/>
      <c r="X27" s="826">
        <f>AMPOP!G32</f>
        <v>493680</v>
      </c>
      <c r="Y27" s="826"/>
      <c r="Z27" s="827"/>
      <c r="AA27" s="828"/>
      <c r="AB27" s="811">
        <f t="shared" si="183"/>
        <v>516632.78</v>
      </c>
      <c r="AC27" s="826"/>
      <c r="AD27" s="826"/>
      <c r="AE27" s="826"/>
      <c r="AF27" s="826"/>
      <c r="AG27" s="826"/>
      <c r="AH27" s="826"/>
      <c r="AI27" s="826"/>
      <c r="AJ27" s="826">
        <f>AMPOP!H32</f>
        <v>516632.78</v>
      </c>
      <c r="AK27" s="826"/>
      <c r="AL27" s="827"/>
      <c r="AM27" s="828"/>
      <c r="AN27" s="811">
        <f t="shared" si="184"/>
        <v>0</v>
      </c>
      <c r="AO27" s="826"/>
      <c r="AP27" s="826"/>
      <c r="AQ27" s="826"/>
      <c r="AR27" s="826"/>
      <c r="AS27" s="826"/>
      <c r="AT27" s="826"/>
      <c r="AU27" s="826"/>
      <c r="AV27" s="826">
        <f>AMPOP!I32</f>
        <v>0</v>
      </c>
      <c r="AW27" s="826"/>
      <c r="AX27" s="827"/>
      <c r="AY27" s="829"/>
      <c r="AZ27" s="811">
        <f t="shared" si="185"/>
        <v>0</v>
      </c>
      <c r="BA27" s="813"/>
      <c r="BB27" s="813"/>
      <c r="BC27" s="813"/>
      <c r="BD27" s="813"/>
      <c r="BE27" s="813"/>
      <c r="BF27" s="813"/>
      <c r="BG27" s="813"/>
      <c r="BH27" s="813">
        <f>AMPOP!J32</f>
        <v>0</v>
      </c>
      <c r="BI27" s="813"/>
      <c r="BJ27" s="819"/>
      <c r="BK27" s="821"/>
      <c r="BL27" s="1"/>
      <c r="BM27" s="1"/>
      <c r="BN27" s="1"/>
      <c r="BO27" s="1"/>
      <c r="BP27" s="1"/>
      <c r="BQ27" s="1"/>
      <c r="BR27" s="1"/>
    </row>
    <row r="28" spans="1:70" ht="55.5" customHeight="1">
      <c r="A28" s="194"/>
      <c r="B28" s="229">
        <v>32001</v>
      </c>
      <c r="C28" s="182" t="s">
        <v>275</v>
      </c>
      <c r="D28" s="808">
        <f>SUM(E28:O28)</f>
        <v>2994.53</v>
      </c>
      <c r="E28" s="826"/>
      <c r="F28" s="826"/>
      <c r="G28" s="826"/>
      <c r="H28" s="826"/>
      <c r="I28" s="826"/>
      <c r="J28" s="826"/>
      <c r="K28" s="826"/>
      <c r="L28" s="826">
        <f>AMPOP!F33</f>
        <v>2994.53</v>
      </c>
      <c r="M28" s="826"/>
      <c r="N28" s="827"/>
      <c r="O28" s="828"/>
      <c r="P28" s="811">
        <f t="shared" si="182"/>
        <v>669537.69999999995</v>
      </c>
      <c r="Q28" s="826"/>
      <c r="R28" s="826"/>
      <c r="S28" s="826"/>
      <c r="T28" s="826"/>
      <c r="U28" s="826"/>
      <c r="V28" s="826"/>
      <c r="W28" s="826"/>
      <c r="X28" s="826">
        <f>AMPOP!G33</f>
        <v>669537.69999999995</v>
      </c>
      <c r="Y28" s="826"/>
      <c r="Z28" s="827"/>
      <c r="AA28" s="828"/>
      <c r="AB28" s="811">
        <f t="shared" si="183"/>
        <v>994786.12000000011</v>
      </c>
      <c r="AC28" s="826"/>
      <c r="AD28" s="826"/>
      <c r="AE28" s="826"/>
      <c r="AF28" s="826"/>
      <c r="AG28" s="826"/>
      <c r="AH28" s="826"/>
      <c r="AI28" s="826"/>
      <c r="AJ28" s="826">
        <f>AMPOP!H33</f>
        <v>994786.12000000011</v>
      </c>
      <c r="AK28" s="826"/>
      <c r="AL28" s="827"/>
      <c r="AM28" s="828"/>
      <c r="AN28" s="811">
        <f t="shared" si="184"/>
        <v>0</v>
      </c>
      <c r="AO28" s="826"/>
      <c r="AP28" s="826"/>
      <c r="AQ28" s="826"/>
      <c r="AR28" s="826"/>
      <c r="AS28" s="826"/>
      <c r="AT28" s="826"/>
      <c r="AU28" s="826"/>
      <c r="AV28" s="826">
        <f>AMPOP!I33</f>
        <v>0</v>
      </c>
      <c r="AW28" s="826"/>
      <c r="AX28" s="827"/>
      <c r="AY28" s="829"/>
      <c r="AZ28" s="811">
        <f t="shared" si="185"/>
        <v>0</v>
      </c>
      <c r="BA28" s="813"/>
      <c r="BB28" s="813"/>
      <c r="BC28" s="813"/>
      <c r="BD28" s="813"/>
      <c r="BE28" s="813"/>
      <c r="BF28" s="813"/>
      <c r="BG28" s="813"/>
      <c r="BH28" s="813">
        <f>AMPOP!J33</f>
        <v>0</v>
      </c>
      <c r="BI28" s="813"/>
      <c r="BJ28" s="819"/>
      <c r="BK28" s="821"/>
      <c r="BL28" s="1"/>
      <c r="BM28" s="1"/>
      <c r="BN28" s="1"/>
      <c r="BO28" s="1"/>
      <c r="BP28" s="1"/>
      <c r="BQ28" s="1"/>
      <c r="BR28" s="1"/>
    </row>
    <row r="29" spans="1:70" s="291" customFormat="1" ht="24.75" customHeight="1">
      <c r="A29" s="188" t="s">
        <v>247</v>
      </c>
      <c r="B29" s="223"/>
      <c r="C29" s="185" t="s">
        <v>248</v>
      </c>
      <c r="D29" s="803">
        <f>D30+D31+D32+D33+D34+D35+D36+D37+D38</f>
        <v>1762448.7399999998</v>
      </c>
      <c r="E29" s="804">
        <f t="shared" ref="E29:O29" si="187">E30+E31+E32+E33+E34+E35+E36+E37+E38</f>
        <v>533707.495</v>
      </c>
      <c r="F29" s="804">
        <f t="shared" si="187"/>
        <v>60678.58</v>
      </c>
      <c r="G29" s="804">
        <f t="shared" si="187"/>
        <v>0</v>
      </c>
      <c r="H29" s="804">
        <f t="shared" si="187"/>
        <v>0</v>
      </c>
      <c r="I29" s="804">
        <f t="shared" si="187"/>
        <v>60678.58</v>
      </c>
      <c r="J29" s="804">
        <f t="shared" si="187"/>
        <v>379241.125</v>
      </c>
      <c r="K29" s="804">
        <f t="shared" si="187"/>
        <v>106187.51500000001</v>
      </c>
      <c r="L29" s="804">
        <f t="shared" si="187"/>
        <v>45508.934999999998</v>
      </c>
      <c r="M29" s="804">
        <f t="shared" si="187"/>
        <v>182035.74</v>
      </c>
      <c r="N29" s="804">
        <f t="shared" si="187"/>
        <v>60678.58</v>
      </c>
      <c r="O29" s="805">
        <f t="shared" si="187"/>
        <v>333732.19</v>
      </c>
      <c r="P29" s="806">
        <f>P30+P31+P32+P33+P34+P35+P36+P37+P38</f>
        <v>2302948.4</v>
      </c>
      <c r="Q29" s="804">
        <f t="shared" ref="Q29" si="188">Q30+Q31+Q32+Q33+Q34+Q35+Q36+Q37+Q38</f>
        <v>886041.8060000001</v>
      </c>
      <c r="R29" s="804">
        <f t="shared" ref="R29" si="189">R30+R31+R32+R33+R34+R35+R36+R37+R38</f>
        <v>69970.695999999996</v>
      </c>
      <c r="S29" s="804">
        <f t="shared" ref="S29" si="190">S30+S31+S32+S33+S34+S35+S36+S37+S38</f>
        <v>0</v>
      </c>
      <c r="T29" s="804">
        <f t="shared" ref="T29" si="191">T30+T31+T32+T33+T34+T35+T36+T37+T38</f>
        <v>0</v>
      </c>
      <c r="U29" s="804">
        <f t="shared" ref="U29" si="192">U30+U31+U32+U33+U34+U35+U36+U37+U38</f>
        <v>69970.695999999996</v>
      </c>
      <c r="V29" s="804">
        <f t="shared" ref="V29" si="193">V30+V31+V32+V33+V34+V35+V36+V37+V38</f>
        <v>437316.85</v>
      </c>
      <c r="W29" s="804">
        <f t="shared" ref="W29" si="194">W30+W31+W32+W33+W34+W35+W36+W37+W38</f>
        <v>122448.71800000001</v>
      </c>
      <c r="X29" s="804">
        <f t="shared" ref="X29" si="195">X30+X31+X32+X33+X34+X35+X36+X37+X38</f>
        <v>52478.021999999997</v>
      </c>
      <c r="Y29" s="804">
        <f t="shared" ref="Y29" si="196">Y30+Y31+Y32+Y33+Y34+Y35+Y36+Y37+Y38</f>
        <v>209912.08799999999</v>
      </c>
      <c r="Z29" s="804">
        <f t="shared" ref="Z29" si="197">Z30+Z31+Z32+Z33+Z34+Z35+Z36+Z37+Z38</f>
        <v>69970.695999999996</v>
      </c>
      <c r="AA29" s="805">
        <f t="shared" ref="AA29" si="198">AA30+AA31+AA32+AA33+AA34+AA35+AA36+AA37+AA38</f>
        <v>384838.82799999998</v>
      </c>
      <c r="AB29" s="806">
        <f>AB30+AB31+AB32+AB33+AB34+AB35+AB36+AB37+AB38</f>
        <v>4825202.8397615999</v>
      </c>
      <c r="AC29" s="804">
        <f t="shared" ref="AC29" si="199">AC30+AC31+AC32+AC33+AC34+AC35+AC36+AC37+AC38</f>
        <v>1397316.1307616001</v>
      </c>
      <c r="AD29" s="804">
        <f t="shared" ref="AD29" si="200">AD30+AD31+AD32+AD33+AD34+AD35+AD36+AD37+AD38</f>
        <v>169278.35600000003</v>
      </c>
      <c r="AE29" s="804">
        <f t="shared" ref="AE29" si="201">AE30+AE31+AE32+AE33+AE34+AE35+AE36+AE37+AE38</f>
        <v>0</v>
      </c>
      <c r="AF29" s="804">
        <f t="shared" ref="AF29" si="202">AF30+AF31+AF32+AF33+AF34+AF35+AF36+AF37+AF38</f>
        <v>0</v>
      </c>
      <c r="AG29" s="804">
        <f t="shared" ref="AG29" si="203">AG30+AG31+AG32+AG33+AG34+AG35+AG36+AG37+AG38</f>
        <v>169278.35600000003</v>
      </c>
      <c r="AH29" s="804">
        <f t="shared" ref="AH29" si="204">AH30+AH31+AH32+AH33+AH34+AH35+AH36+AH37+AH38</f>
        <v>1057989.7250000001</v>
      </c>
      <c r="AI29" s="804">
        <f t="shared" ref="AI29" si="205">AI30+AI31+AI32+AI33+AI34+AI35+AI36+AI37+AI38</f>
        <v>296237.12300000002</v>
      </c>
      <c r="AJ29" s="804">
        <f t="shared" ref="AJ29" si="206">AJ30+AJ31+AJ32+AJ33+AJ34+AJ35+AJ36+AJ37+AJ38</f>
        <v>126958.76699999999</v>
      </c>
      <c r="AK29" s="804">
        <f t="shared" ref="AK29" si="207">AK30+AK31+AK32+AK33+AK34+AK35+AK36+AK37+AK38</f>
        <v>507835.06799999997</v>
      </c>
      <c r="AL29" s="804">
        <f t="shared" ref="AL29" si="208">AL30+AL31+AL32+AL33+AL34+AL35+AL36+AL37+AL38</f>
        <v>169278.35600000003</v>
      </c>
      <c r="AM29" s="805">
        <f t="shared" ref="AM29" si="209">AM30+AM31+AM32+AM33+AM34+AM35+AM36+AM37+AM38</f>
        <v>931030.9580000001</v>
      </c>
      <c r="AN29" s="806">
        <f>AN30+AN31+AN32+AN33+AN34+AN35+AN36+AN37+AN38</f>
        <v>4908135.9665561598</v>
      </c>
      <c r="AO29" s="804">
        <f t="shared" ref="AO29" si="210">AO30+AO31+AO32+AO33+AO34+AO35+AO36+AO37+AO38</f>
        <v>1461275.7365561598</v>
      </c>
      <c r="AP29" s="804">
        <f t="shared" ref="AP29" si="211">AP30+AP31+AP32+AP33+AP34+AP35+AP36+AP37+AP38</f>
        <v>170215.32</v>
      </c>
      <c r="AQ29" s="804">
        <f t="shared" ref="AQ29" si="212">AQ30+AQ31+AQ32+AQ33+AQ34+AQ35+AQ36+AQ37+AQ38</f>
        <v>0</v>
      </c>
      <c r="AR29" s="804">
        <f t="shared" ref="AR29" si="213">AR30+AR31+AR32+AR33+AR34+AR35+AR36+AR37+AR38</f>
        <v>0</v>
      </c>
      <c r="AS29" s="804">
        <f t="shared" ref="AS29" si="214">AS30+AS31+AS32+AS33+AS34+AS35+AS36+AS37+AS38</f>
        <v>170215.32</v>
      </c>
      <c r="AT29" s="804">
        <f t="shared" ref="AT29" si="215">AT30+AT31+AT32+AT33+AT34+AT35+AT36+AT37+AT38</f>
        <v>1063845.75</v>
      </c>
      <c r="AU29" s="804">
        <f t="shared" ref="AU29" si="216">AU30+AU31+AU32+AU33+AU34+AU35+AU36+AU37+AU38</f>
        <v>297876.81</v>
      </c>
      <c r="AV29" s="804">
        <f t="shared" ref="AV29" si="217">AV30+AV31+AV32+AV33+AV34+AV35+AV36+AV37+AV38</f>
        <v>127661.48999999999</v>
      </c>
      <c r="AW29" s="804">
        <f t="shared" ref="AW29" si="218">AW30+AW31+AW32+AW33+AW34+AW35+AW36+AW37+AW38</f>
        <v>510645.95999999996</v>
      </c>
      <c r="AX29" s="804">
        <f t="shared" ref="AX29" si="219">AX30+AX31+AX32+AX33+AX34+AX35+AX36+AX37+AX38</f>
        <v>170215.32</v>
      </c>
      <c r="AY29" s="807">
        <f t="shared" ref="AY29" si="220">AY30+AY31+AY32+AY33+AY34+AY35+AY36+AY37+AY38</f>
        <v>936184.26</v>
      </c>
      <c r="AZ29" s="806">
        <f>AZ30+AZ31+AZ32+AZ33+AZ34+AZ35+AZ36+AZ37+AZ38</f>
        <v>4754311.3229616005</v>
      </c>
      <c r="BA29" s="804">
        <f t="shared" ref="BA29" si="221">BA30+BA31+BA32+BA33+BA34+BA35+BA36+BA37+BA38</f>
        <v>1182557.7619616</v>
      </c>
      <c r="BB29" s="804">
        <f t="shared" ref="BB29" si="222">BB30+BB31+BB32+BB33+BB34+BB35+BB36+BB37+BB38</f>
        <v>163968.72399999999</v>
      </c>
      <c r="BC29" s="804">
        <f t="shared" ref="BC29" si="223">BC30+BC31+BC32+BC33+BC34+BC35+BC36+BC37+BC38</f>
        <v>0</v>
      </c>
      <c r="BD29" s="804">
        <f t="shared" ref="BD29" si="224">BD30+BD31+BD32+BD33+BD34+BD35+BD36+BD37+BD38</f>
        <v>0</v>
      </c>
      <c r="BE29" s="804">
        <f t="shared" ref="BE29" si="225">BE30+BE31+BE32+BE33+BE34+BE35+BE36+BE37+BE38</f>
        <v>163968.72399999999</v>
      </c>
      <c r="BF29" s="804">
        <f t="shared" ref="BF29" si="226">BF30+BF31+BF32+BF33+BF34+BF35+BF36+BF37+BF38</f>
        <v>1024804.5249999999</v>
      </c>
      <c r="BG29" s="804">
        <f t="shared" ref="BG29" si="227">BG30+BG31+BG32+BG33+BG34+BG35+BG36+BG37+BG38</f>
        <v>286945.26699999999</v>
      </c>
      <c r="BH29" s="804">
        <f t="shared" ref="BH29" si="228">BH30+BH31+BH32+BH33+BH34+BH35+BH36+BH37+BH38</f>
        <v>320195.34299999999</v>
      </c>
      <c r="BI29" s="804">
        <f t="shared" ref="BI29" si="229">BI30+BI31+BI32+BI33+BI34+BI35+BI36+BI37+BI38</f>
        <v>546074.272</v>
      </c>
      <c r="BJ29" s="804">
        <f t="shared" ref="BJ29" si="230">BJ30+BJ31+BJ32+BJ33+BJ34+BJ35+BJ36+BJ37+BJ38</f>
        <v>163968.72399999999</v>
      </c>
      <c r="BK29" s="807">
        <f t="shared" ref="BK29" si="231">BK30+BK31+BK32+BK33+BK34+BK35+BK36+BK37+BK38</f>
        <v>901827.98199999996</v>
      </c>
      <c r="BL29" s="1"/>
      <c r="BM29" s="1"/>
      <c r="BN29" s="1"/>
      <c r="BO29" s="1"/>
      <c r="BP29" s="1"/>
      <c r="BQ29" s="1"/>
      <c r="BR29" s="1"/>
    </row>
    <row r="30" spans="1:70" s="10" customFormat="1" ht="27">
      <c r="A30" s="200"/>
      <c r="B30" s="231">
        <v>11001</v>
      </c>
      <c r="C30" s="181" t="s">
        <v>249</v>
      </c>
      <c r="D30" s="808">
        <f t="shared" ref="D30:D41" si="232">SUM(E30:O30)</f>
        <v>170293.17</v>
      </c>
      <c r="E30" s="826">
        <f>AMPOP!F35</f>
        <v>170293.17</v>
      </c>
      <c r="F30" s="826"/>
      <c r="G30" s="826"/>
      <c r="H30" s="826"/>
      <c r="I30" s="826"/>
      <c r="J30" s="826"/>
      <c r="K30" s="826"/>
      <c r="L30" s="826"/>
      <c r="M30" s="826"/>
      <c r="N30" s="827"/>
      <c r="O30" s="828"/>
      <c r="P30" s="811">
        <f t="shared" ref="P30:P38" si="233">SUM(Q30:AA30)</f>
        <v>251232.2</v>
      </c>
      <c r="Q30" s="826">
        <f>AMPOP!G35</f>
        <v>251232.2</v>
      </c>
      <c r="R30" s="826"/>
      <c r="S30" s="826"/>
      <c r="T30" s="826"/>
      <c r="U30" s="826"/>
      <c r="V30" s="826"/>
      <c r="W30" s="826"/>
      <c r="X30" s="826"/>
      <c r="Y30" s="826"/>
      <c r="Z30" s="827"/>
      <c r="AA30" s="828"/>
      <c r="AB30" s="811">
        <f t="shared" ref="AB30:AB36" si="234">SUM(AC30:AM30)</f>
        <v>255191.03976159997</v>
      </c>
      <c r="AC30" s="826">
        <f>AMPOP!H35</f>
        <v>255191.03976159997</v>
      </c>
      <c r="AD30" s="826"/>
      <c r="AE30" s="826"/>
      <c r="AF30" s="826"/>
      <c r="AG30" s="826"/>
      <c r="AH30" s="826"/>
      <c r="AI30" s="826"/>
      <c r="AJ30" s="826"/>
      <c r="AK30" s="826"/>
      <c r="AL30" s="827"/>
      <c r="AM30" s="828"/>
      <c r="AN30" s="811">
        <f t="shared" ref="AN30:AN36" si="235">SUM(AO30:AY30)</f>
        <v>256800.76655616</v>
      </c>
      <c r="AO30" s="826">
        <f>AMPOP!I35</f>
        <v>256800.76655616</v>
      </c>
      <c r="AP30" s="826"/>
      <c r="AQ30" s="826"/>
      <c r="AR30" s="826"/>
      <c r="AS30" s="826"/>
      <c r="AT30" s="826"/>
      <c r="AU30" s="826"/>
      <c r="AV30" s="826"/>
      <c r="AW30" s="826"/>
      <c r="AX30" s="827"/>
      <c r="AY30" s="829"/>
      <c r="AZ30" s="811">
        <f t="shared" ref="AZ30" si="236">SUM(BA30:BK30)</f>
        <v>258580.52296159993</v>
      </c>
      <c r="BA30" s="813">
        <f>AMPOP!J35</f>
        <v>258580.52296159993</v>
      </c>
      <c r="BB30" s="813"/>
      <c r="BC30" s="813"/>
      <c r="BD30" s="813"/>
      <c r="BE30" s="813"/>
      <c r="BF30" s="813"/>
      <c r="BG30" s="813"/>
      <c r="BH30" s="813"/>
      <c r="BI30" s="813"/>
      <c r="BJ30" s="819"/>
      <c r="BK30" s="821"/>
      <c r="BL30" s="1"/>
      <c r="BM30" s="1"/>
      <c r="BN30" s="1"/>
      <c r="BO30" s="1"/>
      <c r="BP30" s="1"/>
      <c r="BQ30" s="1"/>
      <c r="BR30" s="1"/>
    </row>
    <row r="31" spans="1:70" s="10" customFormat="1" ht="17.25">
      <c r="A31" s="202"/>
      <c r="B31" s="227">
        <v>11002</v>
      </c>
      <c r="C31" s="179" t="s">
        <v>28</v>
      </c>
      <c r="D31" s="835">
        <f>SUM(E31:O31)</f>
        <v>1170656.3</v>
      </c>
      <c r="E31" s="836">
        <v>222424.69700000001</v>
      </c>
      <c r="F31" s="836">
        <v>46826.252</v>
      </c>
      <c r="G31" s="836">
        <v>0</v>
      </c>
      <c r="H31" s="836">
        <v>0</v>
      </c>
      <c r="I31" s="836">
        <v>46826.252</v>
      </c>
      <c r="J31" s="836">
        <v>292664.07500000001</v>
      </c>
      <c r="K31" s="836">
        <v>81945.941000000006</v>
      </c>
      <c r="L31" s="836">
        <v>35119.688999999998</v>
      </c>
      <c r="M31" s="836">
        <v>140478.75599999999</v>
      </c>
      <c r="N31" s="836">
        <v>46826.252</v>
      </c>
      <c r="O31" s="837">
        <v>257544.386</v>
      </c>
      <c r="P31" s="811">
        <f t="shared" si="233"/>
        <v>1335485.8999999999</v>
      </c>
      <c r="Q31" s="838">
        <v>253742.321</v>
      </c>
      <c r="R31" s="838">
        <v>53419.435999999994</v>
      </c>
      <c r="S31" s="838">
        <v>0</v>
      </c>
      <c r="T31" s="838">
        <v>0</v>
      </c>
      <c r="U31" s="838">
        <v>53419.435999999994</v>
      </c>
      <c r="V31" s="838">
        <v>333871.47499999998</v>
      </c>
      <c r="W31" s="838">
        <v>93484.013000000006</v>
      </c>
      <c r="X31" s="838">
        <v>40064.576999999997</v>
      </c>
      <c r="Y31" s="838">
        <v>160258.30799999999</v>
      </c>
      <c r="Z31" s="838">
        <v>53419.435999999994</v>
      </c>
      <c r="AA31" s="839">
        <v>293806.89799999999</v>
      </c>
      <c r="AB31" s="811">
        <f t="shared" si="234"/>
        <v>1850350.2</v>
      </c>
      <c r="AC31" s="840">
        <v>351566.538</v>
      </c>
      <c r="AD31" s="841">
        <v>74014.008000000002</v>
      </c>
      <c r="AE31" s="841">
        <v>0</v>
      </c>
      <c r="AF31" s="841">
        <v>0</v>
      </c>
      <c r="AG31" s="841">
        <v>74014.008000000002</v>
      </c>
      <c r="AH31" s="841">
        <v>462587.55</v>
      </c>
      <c r="AI31" s="841">
        <v>129524.51400000001</v>
      </c>
      <c r="AJ31" s="841">
        <v>55510.505999999994</v>
      </c>
      <c r="AK31" s="841">
        <v>222042.02399999998</v>
      </c>
      <c r="AL31" s="841">
        <v>74014.008000000002</v>
      </c>
      <c r="AM31" s="842">
        <v>407077.04399999999</v>
      </c>
      <c r="AN31" s="811">
        <f t="shared" ref="AN31" si="237">SUM(AO31:AY31)</f>
        <v>1850350.2</v>
      </c>
      <c r="AO31" s="841">
        <v>351566.538</v>
      </c>
      <c r="AP31" s="841">
        <v>74014.008000000002</v>
      </c>
      <c r="AQ31" s="841">
        <v>0</v>
      </c>
      <c r="AR31" s="841">
        <v>0</v>
      </c>
      <c r="AS31" s="841">
        <v>74014.008000000002</v>
      </c>
      <c r="AT31" s="841">
        <v>462587.55</v>
      </c>
      <c r="AU31" s="841">
        <v>129524.51400000001</v>
      </c>
      <c r="AV31" s="841">
        <v>55510.505999999994</v>
      </c>
      <c r="AW31" s="841">
        <v>222042.02399999998</v>
      </c>
      <c r="AX31" s="841">
        <v>74014.008000000002</v>
      </c>
      <c r="AY31" s="843">
        <v>407077.04399999999</v>
      </c>
      <c r="AZ31" s="811">
        <f t="shared" ref="AZ31" si="238">SUM(BA31:BK31)</f>
        <v>1850350.2</v>
      </c>
      <c r="BA31" s="840">
        <v>351566.538</v>
      </c>
      <c r="BB31" s="841">
        <v>74014.008000000002</v>
      </c>
      <c r="BC31" s="841">
        <v>0</v>
      </c>
      <c r="BD31" s="841">
        <v>0</v>
      </c>
      <c r="BE31" s="841">
        <v>74014.008000000002</v>
      </c>
      <c r="BF31" s="841">
        <v>462587.55</v>
      </c>
      <c r="BG31" s="841">
        <v>129524.51400000001</v>
      </c>
      <c r="BH31" s="841">
        <v>55510.505999999994</v>
      </c>
      <c r="BI31" s="841">
        <v>222042.02399999998</v>
      </c>
      <c r="BJ31" s="841">
        <v>74014.008000000002</v>
      </c>
      <c r="BK31" s="843">
        <v>407077.04399999999</v>
      </c>
      <c r="BL31" s="1"/>
      <c r="BM31" s="1"/>
      <c r="BN31" s="1"/>
      <c r="BO31" s="1"/>
      <c r="BP31" s="1"/>
      <c r="BQ31" s="1"/>
      <c r="BR31" s="1"/>
    </row>
    <row r="32" spans="1:70" ht="17.25">
      <c r="A32" s="202"/>
      <c r="B32" s="227">
        <v>11003</v>
      </c>
      <c r="C32" s="179" t="s">
        <v>250</v>
      </c>
      <c r="D32" s="808">
        <f t="shared" si="232"/>
        <v>11975.67</v>
      </c>
      <c r="E32" s="826">
        <f>AMPOP!F37</f>
        <v>11975.67</v>
      </c>
      <c r="F32" s="844"/>
      <c r="G32" s="844"/>
      <c r="H32" s="844"/>
      <c r="I32" s="844"/>
      <c r="J32" s="844"/>
      <c r="K32" s="844"/>
      <c r="L32" s="844"/>
      <c r="M32" s="844"/>
      <c r="N32" s="827"/>
      <c r="O32" s="828"/>
      <c r="P32" s="811">
        <f t="shared" si="233"/>
        <v>15000</v>
      </c>
      <c r="Q32" s="826">
        <f>AMPOP!G37</f>
        <v>15000</v>
      </c>
      <c r="R32" s="844"/>
      <c r="S32" s="844"/>
      <c r="T32" s="844"/>
      <c r="U32" s="844"/>
      <c r="V32" s="844"/>
      <c r="W32" s="844"/>
      <c r="X32" s="844"/>
      <c r="Y32" s="844"/>
      <c r="Z32" s="827"/>
      <c r="AA32" s="828"/>
      <c r="AB32" s="811">
        <f t="shared" si="234"/>
        <v>15000</v>
      </c>
      <c r="AC32" s="826">
        <f>AMPOP!H37</f>
        <v>15000</v>
      </c>
      <c r="AD32" s="844"/>
      <c r="AE32" s="844"/>
      <c r="AF32" s="844"/>
      <c r="AG32" s="844"/>
      <c r="AH32" s="844"/>
      <c r="AI32" s="844"/>
      <c r="AJ32" s="844"/>
      <c r="AK32" s="844"/>
      <c r="AL32" s="827"/>
      <c r="AM32" s="828"/>
      <c r="AN32" s="811">
        <f t="shared" si="235"/>
        <v>15000</v>
      </c>
      <c r="AO32" s="826">
        <f>AMPOP!I37</f>
        <v>15000</v>
      </c>
      <c r="AP32" s="844"/>
      <c r="AQ32" s="844"/>
      <c r="AR32" s="844"/>
      <c r="AS32" s="844"/>
      <c r="AT32" s="844"/>
      <c r="AU32" s="844"/>
      <c r="AV32" s="844"/>
      <c r="AW32" s="844"/>
      <c r="AX32" s="827"/>
      <c r="AY32" s="829"/>
      <c r="AZ32" s="811">
        <f t="shared" ref="AZ32:AZ36" si="239">SUM(BA32:BK32)</f>
        <v>15000</v>
      </c>
      <c r="BA32" s="813">
        <f>AMPOP!J37</f>
        <v>15000</v>
      </c>
      <c r="BB32" s="822"/>
      <c r="BC32" s="822"/>
      <c r="BD32" s="822"/>
      <c r="BE32" s="822"/>
      <c r="BF32" s="822"/>
      <c r="BG32" s="822"/>
      <c r="BH32" s="822"/>
      <c r="BI32" s="822"/>
      <c r="BJ32" s="819"/>
      <c r="BK32" s="821"/>
      <c r="BL32" s="1"/>
      <c r="BM32" s="1"/>
      <c r="BN32" s="1"/>
      <c r="BO32" s="1"/>
      <c r="BP32" s="1"/>
      <c r="BQ32" s="1"/>
      <c r="BR32" s="1"/>
    </row>
    <row r="33" spans="1:70" ht="17.25">
      <c r="A33" s="202"/>
      <c r="B33" s="231">
        <v>11004</v>
      </c>
      <c r="C33" s="178" t="s">
        <v>251</v>
      </c>
      <c r="D33" s="808">
        <f t="shared" si="232"/>
        <v>10422</v>
      </c>
      <c r="E33" s="826">
        <f>AMPOP!F38</f>
        <v>10422</v>
      </c>
      <c r="F33" s="844"/>
      <c r="G33" s="844"/>
      <c r="H33" s="844"/>
      <c r="I33" s="844"/>
      <c r="J33" s="844"/>
      <c r="K33" s="844"/>
      <c r="L33" s="844"/>
      <c r="M33" s="844"/>
      <c r="N33" s="827"/>
      <c r="O33" s="828"/>
      <c r="P33" s="811">
        <f t="shared" si="233"/>
        <v>43710.9</v>
      </c>
      <c r="Q33" s="826">
        <f>AMPOP!G38</f>
        <v>43710.9</v>
      </c>
      <c r="R33" s="844"/>
      <c r="S33" s="844"/>
      <c r="T33" s="844"/>
      <c r="U33" s="844"/>
      <c r="V33" s="844"/>
      <c r="W33" s="844"/>
      <c r="X33" s="844"/>
      <c r="Y33" s="844"/>
      <c r="Z33" s="827"/>
      <c r="AA33" s="828"/>
      <c r="AB33" s="811">
        <f t="shared" si="234"/>
        <v>76800</v>
      </c>
      <c r="AC33" s="826">
        <f>AMPOP!H38</f>
        <v>76800</v>
      </c>
      <c r="AD33" s="844"/>
      <c r="AE33" s="844"/>
      <c r="AF33" s="844"/>
      <c r="AG33" s="844"/>
      <c r="AH33" s="844"/>
      <c r="AI33" s="844"/>
      <c r="AJ33" s="844"/>
      <c r="AK33" s="844"/>
      <c r="AL33" s="827"/>
      <c r="AM33" s="828"/>
      <c r="AN33" s="811">
        <f t="shared" si="235"/>
        <v>76800</v>
      </c>
      <c r="AO33" s="826">
        <f>AMPOP!I38</f>
        <v>76800</v>
      </c>
      <c r="AP33" s="844"/>
      <c r="AQ33" s="844"/>
      <c r="AR33" s="844"/>
      <c r="AS33" s="844"/>
      <c r="AT33" s="844"/>
      <c r="AU33" s="844"/>
      <c r="AV33" s="844"/>
      <c r="AW33" s="844"/>
      <c r="AX33" s="827"/>
      <c r="AY33" s="829"/>
      <c r="AZ33" s="811">
        <f t="shared" si="239"/>
        <v>76800</v>
      </c>
      <c r="BA33" s="813">
        <f>AMPOP!J38</f>
        <v>76800</v>
      </c>
      <c r="BB33" s="822"/>
      <c r="BC33" s="822"/>
      <c r="BD33" s="822"/>
      <c r="BE33" s="822"/>
      <c r="BF33" s="822"/>
      <c r="BG33" s="822"/>
      <c r="BH33" s="822"/>
      <c r="BI33" s="822"/>
      <c r="BJ33" s="819"/>
      <c r="BK33" s="821"/>
      <c r="BL33" s="1"/>
      <c r="BM33" s="1"/>
      <c r="BN33" s="1"/>
      <c r="BO33" s="1"/>
      <c r="BP33" s="1"/>
      <c r="BQ33" s="1"/>
      <c r="BR33" s="1"/>
    </row>
    <row r="34" spans="1:70" ht="17.25">
      <c r="A34" s="202"/>
      <c r="B34" s="227">
        <v>11005</v>
      </c>
      <c r="C34" s="179" t="s">
        <v>252</v>
      </c>
      <c r="D34" s="808">
        <f t="shared" si="232"/>
        <v>49293.9</v>
      </c>
      <c r="E34" s="826">
        <f>AMPOP!F39</f>
        <v>49293.9</v>
      </c>
      <c r="F34" s="844"/>
      <c r="G34" s="844"/>
      <c r="H34" s="844"/>
      <c r="I34" s="844"/>
      <c r="J34" s="844"/>
      <c r="K34" s="844"/>
      <c r="L34" s="844"/>
      <c r="M34" s="844"/>
      <c r="N34" s="827"/>
      <c r="O34" s="828"/>
      <c r="P34" s="811">
        <f t="shared" si="233"/>
        <v>53325.8</v>
      </c>
      <c r="Q34" s="826">
        <f>AMPOP!G39</f>
        <v>53325.8</v>
      </c>
      <c r="R34" s="844"/>
      <c r="S34" s="844"/>
      <c r="T34" s="844"/>
      <c r="U34" s="844"/>
      <c r="V34" s="844"/>
      <c r="W34" s="844"/>
      <c r="X34" s="844"/>
      <c r="Y34" s="844"/>
      <c r="Z34" s="827"/>
      <c r="AA34" s="828"/>
      <c r="AB34" s="811">
        <f t="shared" si="234"/>
        <v>53325.8</v>
      </c>
      <c r="AC34" s="826">
        <f>AMPOP!H39</f>
        <v>53325.8</v>
      </c>
      <c r="AD34" s="844"/>
      <c r="AE34" s="844"/>
      <c r="AF34" s="844"/>
      <c r="AG34" s="844"/>
      <c r="AH34" s="844"/>
      <c r="AI34" s="844"/>
      <c r="AJ34" s="844"/>
      <c r="AK34" s="844"/>
      <c r="AL34" s="827"/>
      <c r="AM34" s="828"/>
      <c r="AN34" s="811">
        <f t="shared" si="235"/>
        <v>53325.8</v>
      </c>
      <c r="AO34" s="826">
        <f>AMPOP!I39</f>
        <v>53325.8</v>
      </c>
      <c r="AP34" s="844"/>
      <c r="AQ34" s="844"/>
      <c r="AR34" s="844"/>
      <c r="AS34" s="844"/>
      <c r="AT34" s="844"/>
      <c r="AU34" s="844"/>
      <c r="AV34" s="844"/>
      <c r="AW34" s="844"/>
      <c r="AX34" s="827"/>
      <c r="AY34" s="829"/>
      <c r="AZ34" s="811">
        <f t="shared" si="239"/>
        <v>53325.8</v>
      </c>
      <c r="BA34" s="813">
        <f>AMPOP!J39</f>
        <v>53325.8</v>
      </c>
      <c r="BB34" s="822"/>
      <c r="BC34" s="822"/>
      <c r="BD34" s="822"/>
      <c r="BE34" s="822"/>
      <c r="BF34" s="822"/>
      <c r="BG34" s="822"/>
      <c r="BH34" s="822"/>
      <c r="BI34" s="822"/>
      <c r="BJ34" s="819"/>
      <c r="BK34" s="821"/>
      <c r="BL34" s="1"/>
      <c r="BM34" s="1"/>
      <c r="BN34" s="1"/>
      <c r="BO34" s="1"/>
      <c r="BP34" s="1"/>
      <c r="BQ34" s="1"/>
      <c r="BR34" s="1"/>
    </row>
    <row r="35" spans="1:70" ht="27">
      <c r="A35" s="201"/>
      <c r="B35" s="231">
        <v>31001</v>
      </c>
      <c r="C35" s="179" t="s">
        <v>265</v>
      </c>
      <c r="D35" s="808">
        <f t="shared" si="232"/>
        <v>3499.5</v>
      </c>
      <c r="E35" s="826">
        <f>AMPOP!F40</f>
        <v>3499.5</v>
      </c>
      <c r="F35" s="844"/>
      <c r="G35" s="844"/>
      <c r="H35" s="844"/>
      <c r="I35" s="844"/>
      <c r="J35" s="844"/>
      <c r="K35" s="844"/>
      <c r="L35" s="844"/>
      <c r="M35" s="844"/>
      <c r="N35" s="827"/>
      <c r="O35" s="828"/>
      <c r="P35" s="811">
        <f t="shared" si="233"/>
        <v>3552.8</v>
      </c>
      <c r="Q35" s="826">
        <f>AMPOP!G40</f>
        <v>3552.8</v>
      </c>
      <c r="R35" s="844"/>
      <c r="S35" s="844"/>
      <c r="T35" s="844"/>
      <c r="U35" s="844"/>
      <c r="V35" s="844"/>
      <c r="W35" s="844"/>
      <c r="X35" s="844"/>
      <c r="Y35" s="844"/>
      <c r="Z35" s="827"/>
      <c r="AA35" s="828"/>
      <c r="AB35" s="811">
        <f t="shared" si="234"/>
        <v>0</v>
      </c>
      <c r="AC35" s="826">
        <f>AMPOP!H40</f>
        <v>0</v>
      </c>
      <c r="AD35" s="844"/>
      <c r="AE35" s="844"/>
      <c r="AF35" s="844"/>
      <c r="AG35" s="844"/>
      <c r="AH35" s="844"/>
      <c r="AI35" s="844"/>
      <c r="AJ35" s="844"/>
      <c r="AK35" s="844"/>
      <c r="AL35" s="827"/>
      <c r="AM35" s="828"/>
      <c r="AN35" s="811">
        <f t="shared" si="235"/>
        <v>0</v>
      </c>
      <c r="AO35" s="826">
        <f>AMPOP!I40</f>
        <v>0</v>
      </c>
      <c r="AP35" s="844"/>
      <c r="AQ35" s="844"/>
      <c r="AR35" s="844"/>
      <c r="AS35" s="844"/>
      <c r="AT35" s="844"/>
      <c r="AU35" s="844"/>
      <c r="AV35" s="844"/>
      <c r="AW35" s="844"/>
      <c r="AX35" s="827"/>
      <c r="AY35" s="829"/>
      <c r="AZ35" s="811">
        <f t="shared" si="239"/>
        <v>0</v>
      </c>
      <c r="BA35" s="813">
        <f>AMPOP!J40</f>
        <v>0</v>
      </c>
      <c r="BB35" s="822"/>
      <c r="BC35" s="822"/>
      <c r="BD35" s="822"/>
      <c r="BE35" s="822"/>
      <c r="BF35" s="822"/>
      <c r="BG35" s="822"/>
      <c r="BH35" s="822"/>
      <c r="BI35" s="822"/>
      <c r="BJ35" s="819"/>
      <c r="BK35" s="821"/>
      <c r="BL35" s="1"/>
      <c r="BM35" s="1"/>
      <c r="BN35" s="1"/>
      <c r="BO35" s="1"/>
      <c r="BP35" s="1"/>
      <c r="BQ35" s="1"/>
      <c r="BR35" s="1"/>
    </row>
    <row r="36" spans="1:70" ht="27">
      <c r="A36" s="202"/>
      <c r="B36" s="232">
        <v>31003</v>
      </c>
      <c r="C36" s="179" t="s">
        <v>266</v>
      </c>
      <c r="D36" s="808">
        <f t="shared" si="232"/>
        <v>0</v>
      </c>
      <c r="E36" s="826">
        <f>AMPOP!F41</f>
        <v>0</v>
      </c>
      <c r="F36" s="844"/>
      <c r="G36" s="844"/>
      <c r="H36" s="844"/>
      <c r="I36" s="844"/>
      <c r="J36" s="844"/>
      <c r="K36" s="844"/>
      <c r="L36" s="844"/>
      <c r="M36" s="844"/>
      <c r="N36" s="827"/>
      <c r="O36" s="828"/>
      <c r="P36" s="811">
        <f t="shared" si="233"/>
        <v>61126</v>
      </c>
      <c r="Q36" s="826">
        <f>AMPOP!G41</f>
        <v>61126</v>
      </c>
      <c r="R36" s="844"/>
      <c r="S36" s="844"/>
      <c r="T36" s="844"/>
      <c r="U36" s="844"/>
      <c r="V36" s="844"/>
      <c r="W36" s="844"/>
      <c r="X36" s="844"/>
      <c r="Y36" s="844"/>
      <c r="Z36" s="827"/>
      <c r="AA36" s="828"/>
      <c r="AB36" s="811">
        <f t="shared" si="234"/>
        <v>0</v>
      </c>
      <c r="AC36" s="826">
        <f>AMPOP!H41</f>
        <v>0</v>
      </c>
      <c r="AD36" s="844"/>
      <c r="AE36" s="844"/>
      <c r="AF36" s="844"/>
      <c r="AG36" s="844"/>
      <c r="AH36" s="844"/>
      <c r="AI36" s="844"/>
      <c r="AJ36" s="844"/>
      <c r="AK36" s="844"/>
      <c r="AL36" s="827"/>
      <c r="AM36" s="828"/>
      <c r="AN36" s="811">
        <f t="shared" si="235"/>
        <v>0</v>
      </c>
      <c r="AO36" s="826">
        <f>AMPOP!H41</f>
        <v>0</v>
      </c>
      <c r="AP36" s="844"/>
      <c r="AQ36" s="844"/>
      <c r="AR36" s="844"/>
      <c r="AS36" s="844"/>
      <c r="AT36" s="844"/>
      <c r="AU36" s="844"/>
      <c r="AV36" s="844"/>
      <c r="AW36" s="844"/>
      <c r="AX36" s="827"/>
      <c r="AY36" s="829"/>
      <c r="AZ36" s="811">
        <f t="shared" si="239"/>
        <v>0</v>
      </c>
      <c r="BA36" s="813">
        <f>AMPOP!J41</f>
        <v>0</v>
      </c>
      <c r="BB36" s="822"/>
      <c r="BC36" s="822"/>
      <c r="BD36" s="822"/>
      <c r="BE36" s="822"/>
      <c r="BF36" s="822"/>
      <c r="BG36" s="822"/>
      <c r="BH36" s="822"/>
      <c r="BI36" s="822"/>
      <c r="BJ36" s="819"/>
      <c r="BK36" s="821"/>
      <c r="BL36" s="1"/>
      <c r="BM36" s="1"/>
      <c r="BN36" s="1"/>
      <c r="BO36" s="1"/>
      <c r="BP36" s="1"/>
      <c r="BQ36" s="1"/>
      <c r="BR36" s="1"/>
    </row>
    <row r="37" spans="1:70" s="10" customFormat="1" ht="19.5" customHeight="1">
      <c r="A37" s="221"/>
      <c r="B37" s="228">
        <v>32001</v>
      </c>
      <c r="C37" s="180" t="s">
        <v>253</v>
      </c>
      <c r="D37" s="835">
        <f t="shared" ref="D37" si="240">SUM(E37:O37)</f>
        <v>346308.2</v>
      </c>
      <c r="E37" s="836">
        <v>65798.558000000005</v>
      </c>
      <c r="F37" s="836">
        <v>13852.328000000001</v>
      </c>
      <c r="G37" s="836">
        <v>0</v>
      </c>
      <c r="H37" s="836">
        <v>0</v>
      </c>
      <c r="I37" s="836">
        <v>13852.328000000001</v>
      </c>
      <c r="J37" s="836">
        <v>86577.05</v>
      </c>
      <c r="K37" s="836">
        <v>24241.574000000004</v>
      </c>
      <c r="L37" s="836">
        <v>10389.245999999999</v>
      </c>
      <c r="M37" s="836">
        <v>41556.983999999997</v>
      </c>
      <c r="N37" s="836">
        <v>13852.328000000001</v>
      </c>
      <c r="O37" s="837">
        <v>76187.804000000004</v>
      </c>
      <c r="P37" s="813">
        <f t="shared" ref="P37" si="241">SUM(Q37:AA37)</f>
        <v>413781.50000000006</v>
      </c>
      <c r="Q37" s="813">
        <v>78618.485000000001</v>
      </c>
      <c r="R37" s="813">
        <v>16551.260000000002</v>
      </c>
      <c r="S37" s="813">
        <v>0</v>
      </c>
      <c r="T37" s="813">
        <v>0</v>
      </c>
      <c r="U37" s="813">
        <v>16551.260000000002</v>
      </c>
      <c r="V37" s="813">
        <v>103445.375</v>
      </c>
      <c r="W37" s="813">
        <v>28964.705000000002</v>
      </c>
      <c r="X37" s="813">
        <v>12413.445</v>
      </c>
      <c r="Y37" s="813">
        <v>49653.78</v>
      </c>
      <c r="Z37" s="813">
        <v>16551.260000000002</v>
      </c>
      <c r="AA37" s="824">
        <v>91031.930000000008</v>
      </c>
      <c r="AB37" s="811">
        <f t="shared" ref="AB37" si="242">SUM(AC37:AM37)</f>
        <v>2381608.7000000002</v>
      </c>
      <c r="AC37" s="836">
        <v>452505.65300000005</v>
      </c>
      <c r="AD37" s="836">
        <v>95264.348000000013</v>
      </c>
      <c r="AE37" s="836">
        <v>0</v>
      </c>
      <c r="AF37" s="836">
        <v>0</v>
      </c>
      <c r="AG37" s="836">
        <v>95264.348000000013</v>
      </c>
      <c r="AH37" s="836">
        <v>595402.17500000005</v>
      </c>
      <c r="AI37" s="836">
        <v>166712.60900000003</v>
      </c>
      <c r="AJ37" s="836">
        <v>71448.260999999999</v>
      </c>
      <c r="AK37" s="836">
        <v>285793.04399999999</v>
      </c>
      <c r="AL37" s="836">
        <v>95264.348000000013</v>
      </c>
      <c r="AM37" s="837">
        <v>523953.91400000005</v>
      </c>
      <c r="AN37" s="811">
        <f>SUM(AO37:AY37)</f>
        <v>2405032.7999999998</v>
      </c>
      <c r="AO37" s="836">
        <v>456956.23199999996</v>
      </c>
      <c r="AP37" s="836">
        <v>96201.311999999991</v>
      </c>
      <c r="AQ37" s="836">
        <v>0</v>
      </c>
      <c r="AR37" s="836">
        <v>0</v>
      </c>
      <c r="AS37" s="836">
        <v>96201.311999999991</v>
      </c>
      <c r="AT37" s="836">
        <v>601258.19999999995</v>
      </c>
      <c r="AU37" s="836">
        <v>168352.296</v>
      </c>
      <c r="AV37" s="836">
        <v>72150.983999999997</v>
      </c>
      <c r="AW37" s="836">
        <v>288603.93599999999</v>
      </c>
      <c r="AX37" s="836">
        <v>96201.311999999991</v>
      </c>
      <c r="AY37" s="845">
        <v>529107.21600000001</v>
      </c>
      <c r="AZ37" s="811">
        <f t="shared" ref="AZ37:AZ38" si="243">SUM(BA37:BK37)</f>
        <v>2248867.9</v>
      </c>
      <c r="BA37" s="836">
        <v>427284.90100000001</v>
      </c>
      <c r="BB37" s="836">
        <v>89954.716</v>
      </c>
      <c r="BC37" s="836">
        <v>0</v>
      </c>
      <c r="BD37" s="836">
        <v>0</v>
      </c>
      <c r="BE37" s="836">
        <v>89954.716</v>
      </c>
      <c r="BF37" s="836">
        <v>562216.97499999998</v>
      </c>
      <c r="BG37" s="836">
        <v>157420.753</v>
      </c>
      <c r="BH37" s="836">
        <v>67466.036999999997</v>
      </c>
      <c r="BI37" s="836">
        <v>269864.14799999999</v>
      </c>
      <c r="BJ37" s="836">
        <v>89954.716</v>
      </c>
      <c r="BK37" s="845">
        <v>494750.93799999997</v>
      </c>
      <c r="BL37" s="1"/>
      <c r="BM37" s="1"/>
      <c r="BN37" s="1"/>
      <c r="BO37" s="1"/>
      <c r="BP37" s="1"/>
      <c r="BQ37" s="1"/>
      <c r="BR37" s="1"/>
    </row>
    <row r="38" spans="1:70" ht="17.25" customHeight="1">
      <c r="A38" s="201"/>
      <c r="B38" s="227">
        <v>32002</v>
      </c>
      <c r="C38" s="179" t="s">
        <v>29</v>
      </c>
      <c r="D38" s="808">
        <f t="shared" si="232"/>
        <v>0</v>
      </c>
      <c r="E38" s="826">
        <f>AMPOP!F43</f>
        <v>0</v>
      </c>
      <c r="F38" s="844"/>
      <c r="G38" s="844"/>
      <c r="H38" s="844"/>
      <c r="I38" s="844"/>
      <c r="J38" s="844"/>
      <c r="K38" s="844"/>
      <c r="L38" s="844"/>
      <c r="M38" s="844"/>
      <c r="N38" s="827"/>
      <c r="O38" s="828"/>
      <c r="P38" s="811">
        <f t="shared" si="233"/>
        <v>125733.3</v>
      </c>
      <c r="Q38" s="826">
        <f>AMPOP!G43</f>
        <v>125733.3</v>
      </c>
      <c r="R38" s="844"/>
      <c r="S38" s="844"/>
      <c r="T38" s="844"/>
      <c r="U38" s="844"/>
      <c r="V38" s="844"/>
      <c r="W38" s="844"/>
      <c r="X38" s="844"/>
      <c r="Y38" s="844"/>
      <c r="Z38" s="827"/>
      <c r="AA38" s="828"/>
      <c r="AB38" s="811">
        <f t="shared" ref="AB38" si="244">SUM(AC38:AM38)</f>
        <v>192927.1</v>
      </c>
      <c r="AC38" s="826">
        <f>AMPOP!H43</f>
        <v>192927.1</v>
      </c>
      <c r="AD38" s="844"/>
      <c r="AE38" s="844"/>
      <c r="AF38" s="844"/>
      <c r="AG38" s="844"/>
      <c r="AH38" s="844"/>
      <c r="AI38" s="844"/>
      <c r="AJ38" s="844"/>
      <c r="AK38" s="844"/>
      <c r="AL38" s="827"/>
      <c r="AM38" s="828"/>
      <c r="AN38" s="811">
        <f t="shared" ref="AN38" si="245">SUM(AO38:AY38)</f>
        <v>250826.4</v>
      </c>
      <c r="AO38" s="826">
        <f>AMPOP!I43</f>
        <v>250826.4</v>
      </c>
      <c r="AP38" s="844"/>
      <c r="AQ38" s="844"/>
      <c r="AR38" s="844"/>
      <c r="AS38" s="844"/>
      <c r="AT38" s="844"/>
      <c r="AU38" s="844"/>
      <c r="AV38" s="844"/>
      <c r="AW38" s="844"/>
      <c r="AX38" s="827"/>
      <c r="AY38" s="829"/>
      <c r="AZ38" s="846">
        <f t="shared" si="243"/>
        <v>251386.9</v>
      </c>
      <c r="BA38" s="836"/>
      <c r="BB38" s="836"/>
      <c r="BC38" s="836"/>
      <c r="BD38" s="836"/>
      <c r="BE38" s="836"/>
      <c r="BF38" s="836"/>
      <c r="BG38" s="836"/>
      <c r="BH38" s="836">
        <v>197218.8</v>
      </c>
      <c r="BI38" s="836">
        <v>54168.1</v>
      </c>
      <c r="BJ38" s="847"/>
      <c r="BK38" s="848"/>
      <c r="BL38" s="1"/>
      <c r="BM38" s="1"/>
      <c r="BN38" s="1"/>
      <c r="BO38" s="1"/>
      <c r="BP38" s="1"/>
      <c r="BQ38" s="1"/>
      <c r="BR38" s="1"/>
    </row>
    <row r="39" spans="1:70" s="292" customFormat="1" ht="29.25" customHeight="1">
      <c r="A39" s="188" t="s">
        <v>254</v>
      </c>
      <c r="B39" s="223"/>
      <c r="C39" s="185" t="s">
        <v>255</v>
      </c>
      <c r="D39" s="803">
        <f>D40+D41</f>
        <v>340305.2</v>
      </c>
      <c r="E39" s="804">
        <f t="shared" ref="E39:O39" si="246">E40+E41</f>
        <v>339105.2</v>
      </c>
      <c r="F39" s="804">
        <f t="shared" si="246"/>
        <v>0</v>
      </c>
      <c r="G39" s="804">
        <f t="shared" si="246"/>
        <v>0</v>
      </c>
      <c r="H39" s="804">
        <f t="shared" si="246"/>
        <v>0</v>
      </c>
      <c r="I39" s="804">
        <f t="shared" si="246"/>
        <v>0</v>
      </c>
      <c r="J39" s="804">
        <f t="shared" si="246"/>
        <v>0</v>
      </c>
      <c r="K39" s="804">
        <f t="shared" si="246"/>
        <v>0</v>
      </c>
      <c r="L39" s="804">
        <f t="shared" si="246"/>
        <v>0</v>
      </c>
      <c r="M39" s="804">
        <f t="shared" si="246"/>
        <v>0</v>
      </c>
      <c r="N39" s="804">
        <f t="shared" si="246"/>
        <v>1200</v>
      </c>
      <c r="O39" s="805">
        <f t="shared" si="246"/>
        <v>0</v>
      </c>
      <c r="P39" s="806">
        <f>P40+P41</f>
        <v>353377.10000000003</v>
      </c>
      <c r="Q39" s="804">
        <f t="shared" ref="Q39" si="247">Q40+Q41</f>
        <v>352177.10000000003</v>
      </c>
      <c r="R39" s="804">
        <f t="shared" ref="R39" si="248">R40+R41</f>
        <v>0</v>
      </c>
      <c r="S39" s="804">
        <f t="shared" ref="S39" si="249">S40+S41</f>
        <v>0</v>
      </c>
      <c r="T39" s="804">
        <f t="shared" ref="T39" si="250">T40+T41</f>
        <v>0</v>
      </c>
      <c r="U39" s="804">
        <f t="shared" ref="U39" si="251">U40+U41</f>
        <v>0</v>
      </c>
      <c r="V39" s="804">
        <f t="shared" ref="V39" si="252">V40+V41</f>
        <v>0</v>
      </c>
      <c r="W39" s="804">
        <f t="shared" ref="W39" si="253">W40+W41</f>
        <v>0</v>
      </c>
      <c r="X39" s="804">
        <f t="shared" ref="X39" si="254">X40+X41</f>
        <v>0</v>
      </c>
      <c r="Y39" s="804">
        <f t="shared" ref="Y39" si="255">Y40+Y41</f>
        <v>0</v>
      </c>
      <c r="Z39" s="804">
        <f t="shared" ref="Z39" si="256">Z40+Z41</f>
        <v>1200</v>
      </c>
      <c r="AA39" s="805">
        <f t="shared" ref="AA39" si="257">AA40+AA41</f>
        <v>0</v>
      </c>
      <c r="AB39" s="806">
        <f>AB40+AB41</f>
        <v>345322.3</v>
      </c>
      <c r="AC39" s="804">
        <f t="shared" ref="AC39" si="258">AC40+AC41</f>
        <v>343822.3</v>
      </c>
      <c r="AD39" s="804">
        <f t="shared" ref="AD39" si="259">AD40+AD41</f>
        <v>0</v>
      </c>
      <c r="AE39" s="804">
        <f t="shared" ref="AE39" si="260">AE40+AE41</f>
        <v>0</v>
      </c>
      <c r="AF39" s="804">
        <f t="shared" ref="AF39" si="261">AF40+AF41</f>
        <v>0</v>
      </c>
      <c r="AG39" s="804">
        <f t="shared" ref="AG39" si="262">AG40+AG41</f>
        <v>0</v>
      </c>
      <c r="AH39" s="804">
        <f t="shared" ref="AH39" si="263">AH40+AH41</f>
        <v>0</v>
      </c>
      <c r="AI39" s="804">
        <f t="shared" ref="AI39" si="264">AI40+AI41</f>
        <v>0</v>
      </c>
      <c r="AJ39" s="804">
        <f t="shared" ref="AJ39" si="265">AJ40+AJ41</f>
        <v>0</v>
      </c>
      <c r="AK39" s="804">
        <f t="shared" ref="AK39" si="266">AK40+AK41</f>
        <v>0</v>
      </c>
      <c r="AL39" s="804">
        <f t="shared" ref="AL39" si="267">AL40+AL41</f>
        <v>1500</v>
      </c>
      <c r="AM39" s="805">
        <f t="shared" ref="AM39" si="268">AM40+AM41</f>
        <v>0</v>
      </c>
      <c r="AN39" s="806">
        <f>AN40+AN41</f>
        <v>345322.3</v>
      </c>
      <c r="AO39" s="804">
        <f t="shared" ref="AO39" si="269">AO40+AO41</f>
        <v>343822.3</v>
      </c>
      <c r="AP39" s="804">
        <f t="shared" ref="AP39" si="270">AP40+AP41</f>
        <v>0</v>
      </c>
      <c r="AQ39" s="804">
        <f t="shared" ref="AQ39" si="271">AQ40+AQ41</f>
        <v>0</v>
      </c>
      <c r="AR39" s="804">
        <f t="shared" ref="AR39" si="272">AR40+AR41</f>
        <v>0</v>
      </c>
      <c r="AS39" s="804">
        <f t="shared" ref="AS39" si="273">AS40+AS41</f>
        <v>0</v>
      </c>
      <c r="AT39" s="804">
        <f t="shared" ref="AT39" si="274">AT40+AT41</f>
        <v>0</v>
      </c>
      <c r="AU39" s="804">
        <f t="shared" ref="AU39" si="275">AU40+AU41</f>
        <v>0</v>
      </c>
      <c r="AV39" s="804">
        <f t="shared" ref="AV39" si="276">AV40+AV41</f>
        <v>0</v>
      </c>
      <c r="AW39" s="804">
        <f t="shared" ref="AW39" si="277">AW40+AW41</f>
        <v>0</v>
      </c>
      <c r="AX39" s="804">
        <f t="shared" ref="AX39" si="278">AX40+AX41</f>
        <v>1500</v>
      </c>
      <c r="AY39" s="807">
        <f t="shared" ref="AY39" si="279">AY40+AY41</f>
        <v>0</v>
      </c>
      <c r="AZ39" s="806">
        <f>AZ40+AZ41</f>
        <v>345322.3</v>
      </c>
      <c r="BA39" s="804">
        <f t="shared" ref="BA39" si="280">BA40+BA41</f>
        <v>343822.3</v>
      </c>
      <c r="BB39" s="804">
        <f t="shared" ref="BB39" si="281">BB40+BB41</f>
        <v>0</v>
      </c>
      <c r="BC39" s="804">
        <f t="shared" ref="BC39" si="282">BC40+BC41</f>
        <v>0</v>
      </c>
      <c r="BD39" s="804">
        <f t="shared" ref="BD39" si="283">BD40+BD41</f>
        <v>0</v>
      </c>
      <c r="BE39" s="804">
        <f t="shared" ref="BE39" si="284">BE40+BE41</f>
        <v>0</v>
      </c>
      <c r="BF39" s="804">
        <f t="shared" ref="BF39" si="285">BF40+BF41</f>
        <v>0</v>
      </c>
      <c r="BG39" s="804">
        <f t="shared" ref="BG39" si="286">BG40+BG41</f>
        <v>0</v>
      </c>
      <c r="BH39" s="804">
        <f t="shared" ref="BH39" si="287">BH40+BH41</f>
        <v>0</v>
      </c>
      <c r="BI39" s="804">
        <f t="shared" ref="BI39" si="288">BI40+BI41</f>
        <v>0</v>
      </c>
      <c r="BJ39" s="804">
        <f t="shared" ref="BJ39" si="289">BJ40+BJ41</f>
        <v>1500</v>
      </c>
      <c r="BK39" s="807">
        <f t="shared" ref="BK39" si="290">BK40+BK41</f>
        <v>0</v>
      </c>
      <c r="BL39" s="1"/>
      <c r="BM39" s="1"/>
      <c r="BN39" s="1"/>
      <c r="BO39" s="1"/>
      <c r="BP39" s="1"/>
      <c r="BQ39" s="1"/>
      <c r="BR39" s="1"/>
    </row>
    <row r="40" spans="1:70" ht="21.75" customHeight="1">
      <c r="A40" s="1725"/>
      <c r="B40" s="227">
        <v>11001</v>
      </c>
      <c r="C40" s="183" t="s">
        <v>255</v>
      </c>
      <c r="D40" s="808">
        <f t="shared" si="232"/>
        <v>37895.9</v>
      </c>
      <c r="E40" s="849">
        <v>36695.9</v>
      </c>
      <c r="F40" s="849"/>
      <c r="G40" s="849"/>
      <c r="H40" s="849"/>
      <c r="I40" s="844"/>
      <c r="J40" s="844"/>
      <c r="K40" s="844"/>
      <c r="L40" s="844"/>
      <c r="M40" s="844"/>
      <c r="N40" s="850">
        <v>1200</v>
      </c>
      <c r="O40" s="828"/>
      <c r="P40" s="811">
        <f t="shared" ref="P40:P41" si="291">SUM(Q40:AA40)</f>
        <v>50604.9</v>
      </c>
      <c r="Q40" s="849">
        <v>49404.9</v>
      </c>
      <c r="R40" s="849"/>
      <c r="S40" s="849"/>
      <c r="T40" s="849"/>
      <c r="U40" s="844"/>
      <c r="V40" s="844"/>
      <c r="W40" s="844"/>
      <c r="X40" s="844"/>
      <c r="Y40" s="844"/>
      <c r="Z40" s="850">
        <v>1200</v>
      </c>
      <c r="AA40" s="828"/>
      <c r="AB40" s="811">
        <f>AC40+AL40</f>
        <v>42550.1</v>
      </c>
      <c r="AC40" s="851" t="s">
        <v>315</v>
      </c>
      <c r="AD40" s="851"/>
      <c r="AE40" s="851"/>
      <c r="AF40" s="851"/>
      <c r="AG40" s="851"/>
      <c r="AH40" s="851"/>
      <c r="AI40" s="851"/>
      <c r="AJ40" s="851"/>
      <c r="AK40" s="844"/>
      <c r="AL40" s="850">
        <v>1500</v>
      </c>
      <c r="AM40" s="828"/>
      <c r="AN40" s="852">
        <f>AO40+AX40</f>
        <v>42550.1</v>
      </c>
      <c r="AO40" s="826" t="s">
        <v>315</v>
      </c>
      <c r="AP40" s="826"/>
      <c r="AQ40" s="826"/>
      <c r="AR40" s="826"/>
      <c r="AS40" s="826"/>
      <c r="AT40" s="826"/>
      <c r="AU40" s="826"/>
      <c r="AV40" s="826"/>
      <c r="AW40" s="826"/>
      <c r="AX40" s="826">
        <v>1500</v>
      </c>
      <c r="AY40" s="853"/>
      <c r="AZ40" s="811">
        <f>BA40+BJ40</f>
        <v>42550.1</v>
      </c>
      <c r="BA40" s="826" t="s">
        <v>315</v>
      </c>
      <c r="BB40" s="833"/>
      <c r="BC40" s="833"/>
      <c r="BD40" s="833"/>
      <c r="BE40" s="822"/>
      <c r="BF40" s="822"/>
      <c r="BG40" s="822"/>
      <c r="BH40" s="822"/>
      <c r="BI40" s="822"/>
      <c r="BJ40" s="813">
        <v>1500</v>
      </c>
      <c r="BK40" s="821"/>
      <c r="BL40" s="1"/>
      <c r="BM40" s="1"/>
      <c r="BN40" s="1"/>
      <c r="BO40" s="1"/>
      <c r="BP40" s="1"/>
      <c r="BQ40" s="1"/>
      <c r="BR40" s="1"/>
    </row>
    <row r="41" spans="1:70" ht="18" thickBot="1">
      <c r="A41" s="1825"/>
      <c r="B41" s="224">
        <v>11002</v>
      </c>
      <c r="C41" s="205" t="s">
        <v>256</v>
      </c>
      <c r="D41" s="854">
        <f t="shared" si="232"/>
        <v>302409.3</v>
      </c>
      <c r="E41" s="855">
        <f>AMPOP!F46</f>
        <v>302409.3</v>
      </c>
      <c r="F41" s="856"/>
      <c r="G41" s="856"/>
      <c r="H41" s="856"/>
      <c r="I41" s="856"/>
      <c r="J41" s="856"/>
      <c r="K41" s="856"/>
      <c r="L41" s="856"/>
      <c r="M41" s="856"/>
      <c r="N41" s="857"/>
      <c r="O41" s="858"/>
      <c r="P41" s="811">
        <f t="shared" si="291"/>
        <v>302772.2</v>
      </c>
      <c r="Q41" s="813">
        <f>AMPOP!G46</f>
        <v>302772.2</v>
      </c>
      <c r="R41" s="849"/>
      <c r="S41" s="849"/>
      <c r="T41" s="849"/>
      <c r="U41" s="849"/>
      <c r="V41" s="849"/>
      <c r="W41" s="849"/>
      <c r="X41" s="849"/>
      <c r="Y41" s="849"/>
      <c r="Z41" s="859"/>
      <c r="AA41" s="860"/>
      <c r="AB41" s="811">
        <f t="shared" ref="AB41" si="292">SUM(AC41:AM41)</f>
        <v>302772.2</v>
      </c>
      <c r="AC41" s="849">
        <f>AMPOP!H46</f>
        <v>302772.2</v>
      </c>
      <c r="AD41" s="849"/>
      <c r="AE41" s="849"/>
      <c r="AF41" s="849"/>
      <c r="AG41" s="849"/>
      <c r="AH41" s="849"/>
      <c r="AI41" s="849"/>
      <c r="AJ41" s="849"/>
      <c r="AK41" s="849"/>
      <c r="AL41" s="859"/>
      <c r="AM41" s="860"/>
      <c r="AN41" s="811">
        <f t="shared" ref="AN41" si="293">SUM(AO41:AY41)</f>
        <v>302772.2</v>
      </c>
      <c r="AO41" s="849">
        <f>AMPOP!H46</f>
        <v>302772.2</v>
      </c>
      <c r="AP41" s="849"/>
      <c r="AQ41" s="849"/>
      <c r="AR41" s="849"/>
      <c r="AS41" s="849"/>
      <c r="AT41" s="849"/>
      <c r="AU41" s="849"/>
      <c r="AV41" s="849"/>
      <c r="AW41" s="849"/>
      <c r="AX41" s="859"/>
      <c r="AY41" s="861"/>
      <c r="AZ41" s="811">
        <f t="shared" ref="AZ41" si="294">SUM(BA41:BK41)</f>
        <v>302772.2</v>
      </c>
      <c r="BA41" s="833">
        <f>AMPOP!J46</f>
        <v>302772.2</v>
      </c>
      <c r="BB41" s="833"/>
      <c r="BC41" s="833"/>
      <c r="BD41" s="833"/>
      <c r="BE41" s="833"/>
      <c r="BF41" s="833"/>
      <c r="BG41" s="833"/>
      <c r="BH41" s="833"/>
      <c r="BI41" s="833"/>
      <c r="BJ41" s="813"/>
      <c r="BK41" s="825"/>
      <c r="BL41" s="1"/>
      <c r="BM41" s="1"/>
      <c r="BN41" s="1"/>
      <c r="BO41" s="1"/>
      <c r="BP41" s="1"/>
      <c r="BQ41" s="1"/>
      <c r="BR41" s="1"/>
    </row>
    <row r="42" spans="1:70" s="293" customFormat="1" ht="24.75" customHeight="1">
      <c r="A42" s="188">
        <v>1020</v>
      </c>
      <c r="B42" s="223"/>
      <c r="C42" s="185" t="s">
        <v>273</v>
      </c>
      <c r="D42" s="862"/>
      <c r="E42" s="863"/>
      <c r="F42" s="863"/>
      <c r="G42" s="863"/>
      <c r="H42" s="863"/>
      <c r="I42" s="863"/>
      <c r="J42" s="863"/>
      <c r="K42" s="863"/>
      <c r="L42" s="863"/>
      <c r="M42" s="863"/>
      <c r="N42" s="864"/>
      <c r="O42" s="865"/>
      <c r="P42" s="866"/>
      <c r="Q42" s="863"/>
      <c r="R42" s="863"/>
      <c r="S42" s="863"/>
      <c r="T42" s="863"/>
      <c r="U42" s="863"/>
      <c r="V42" s="863"/>
      <c r="W42" s="863"/>
      <c r="X42" s="863"/>
      <c r="Y42" s="863"/>
      <c r="Z42" s="864"/>
      <c r="AA42" s="865"/>
      <c r="AB42" s="806">
        <f>AB43</f>
        <v>1352300</v>
      </c>
      <c r="AC42" s="804">
        <f t="shared" ref="AC42:AM42" si="295">AC43</f>
        <v>1352300</v>
      </c>
      <c r="AD42" s="804">
        <f t="shared" si="295"/>
        <v>0</v>
      </c>
      <c r="AE42" s="804">
        <f t="shared" si="295"/>
        <v>0</v>
      </c>
      <c r="AF42" s="804">
        <f t="shared" si="295"/>
        <v>0</v>
      </c>
      <c r="AG42" s="804">
        <f t="shared" si="295"/>
        <v>0</v>
      </c>
      <c r="AH42" s="804">
        <f t="shared" si="295"/>
        <v>0</v>
      </c>
      <c r="AI42" s="804">
        <f t="shared" si="295"/>
        <v>0</v>
      </c>
      <c r="AJ42" s="804">
        <f t="shared" si="295"/>
        <v>0</v>
      </c>
      <c r="AK42" s="804">
        <f t="shared" si="295"/>
        <v>0</v>
      </c>
      <c r="AL42" s="804">
        <f t="shared" si="295"/>
        <v>0</v>
      </c>
      <c r="AM42" s="805">
        <f t="shared" si="295"/>
        <v>0</v>
      </c>
      <c r="AN42" s="806">
        <f>AN43</f>
        <v>1352300</v>
      </c>
      <c r="AO42" s="804">
        <f t="shared" ref="AO42" si="296">AO43</f>
        <v>1352300</v>
      </c>
      <c r="AP42" s="804">
        <f t="shared" ref="AP42" si="297">AP43</f>
        <v>0</v>
      </c>
      <c r="AQ42" s="804">
        <f t="shared" ref="AQ42" si="298">AQ43</f>
        <v>0</v>
      </c>
      <c r="AR42" s="804">
        <f t="shared" ref="AR42" si="299">AR43</f>
        <v>0</v>
      </c>
      <c r="AS42" s="804">
        <f t="shared" ref="AS42" si="300">AS43</f>
        <v>0</v>
      </c>
      <c r="AT42" s="804">
        <f t="shared" ref="AT42" si="301">AT43</f>
        <v>0</v>
      </c>
      <c r="AU42" s="804">
        <f t="shared" ref="AU42" si="302">AU43</f>
        <v>0</v>
      </c>
      <c r="AV42" s="804">
        <f t="shared" ref="AV42" si="303">AV43</f>
        <v>0</v>
      </c>
      <c r="AW42" s="804">
        <f t="shared" ref="AW42" si="304">AW43</f>
        <v>0</v>
      </c>
      <c r="AX42" s="804">
        <f t="shared" ref="AX42" si="305">AX43</f>
        <v>0</v>
      </c>
      <c r="AY42" s="807">
        <f t="shared" ref="AY42" si="306">AY43</f>
        <v>0</v>
      </c>
      <c r="AZ42" s="806">
        <f>AZ43</f>
        <v>1352300</v>
      </c>
      <c r="BA42" s="804">
        <f t="shared" ref="BA42" si="307">BA43</f>
        <v>1352300</v>
      </c>
      <c r="BB42" s="804">
        <f t="shared" ref="BB42" si="308">BB43</f>
        <v>0</v>
      </c>
      <c r="BC42" s="804">
        <f t="shared" ref="BC42" si="309">BC43</f>
        <v>0</v>
      </c>
      <c r="BD42" s="804">
        <f t="shared" ref="BD42" si="310">BD43</f>
        <v>0</v>
      </c>
      <c r="BE42" s="804">
        <f t="shared" ref="BE42" si="311">BE43</f>
        <v>0</v>
      </c>
      <c r="BF42" s="804">
        <f t="shared" ref="BF42" si="312">BF43</f>
        <v>0</v>
      </c>
      <c r="BG42" s="804">
        <f t="shared" ref="BG42" si="313">BG43</f>
        <v>0</v>
      </c>
      <c r="BH42" s="804">
        <f t="shared" ref="BH42" si="314">BH43</f>
        <v>0</v>
      </c>
      <c r="BI42" s="804">
        <f t="shared" ref="BI42" si="315">BI43</f>
        <v>0</v>
      </c>
      <c r="BJ42" s="804">
        <f t="shared" ref="BJ42" si="316">BJ43</f>
        <v>0</v>
      </c>
      <c r="BK42" s="807">
        <f t="shared" ref="BK42" si="317">BK43</f>
        <v>0</v>
      </c>
      <c r="BL42" s="1"/>
      <c r="BM42" s="1"/>
      <c r="BN42" s="1"/>
      <c r="BO42" s="1"/>
      <c r="BP42" s="1"/>
      <c r="BQ42" s="1"/>
      <c r="BR42" s="1"/>
    </row>
    <row r="43" spans="1:70" ht="20.25" customHeight="1" thickBot="1">
      <c r="A43" s="198"/>
      <c r="B43" s="224">
        <v>11001</v>
      </c>
      <c r="C43" s="206" t="s">
        <v>273</v>
      </c>
      <c r="D43" s="867"/>
      <c r="E43" s="868"/>
      <c r="F43" s="868"/>
      <c r="G43" s="868"/>
      <c r="H43" s="868"/>
      <c r="I43" s="868"/>
      <c r="J43" s="868"/>
      <c r="K43" s="868"/>
      <c r="L43" s="868"/>
      <c r="M43" s="868"/>
      <c r="N43" s="869"/>
      <c r="O43" s="870"/>
      <c r="P43" s="871"/>
      <c r="Q43" s="872"/>
      <c r="R43" s="872"/>
      <c r="S43" s="872"/>
      <c r="T43" s="872"/>
      <c r="U43" s="872"/>
      <c r="V43" s="872"/>
      <c r="W43" s="872"/>
      <c r="X43" s="872"/>
      <c r="Y43" s="872"/>
      <c r="Z43" s="873"/>
      <c r="AA43" s="874"/>
      <c r="AB43" s="875">
        <f>SUM(AC43:AM43)</f>
        <v>1352300</v>
      </c>
      <c r="AC43" s="872">
        <f>AMPOP!H48</f>
        <v>1352300</v>
      </c>
      <c r="AD43" s="872"/>
      <c r="AE43" s="872"/>
      <c r="AF43" s="872"/>
      <c r="AG43" s="872"/>
      <c r="AH43" s="872"/>
      <c r="AI43" s="872"/>
      <c r="AJ43" s="872"/>
      <c r="AK43" s="872"/>
      <c r="AL43" s="873"/>
      <c r="AM43" s="874"/>
      <c r="AN43" s="875">
        <f>SUM(AO43:AY43)</f>
        <v>1352300</v>
      </c>
      <c r="AO43" s="876">
        <f>AMPOP!H48</f>
        <v>1352300</v>
      </c>
      <c r="AP43" s="872"/>
      <c r="AQ43" s="872"/>
      <c r="AR43" s="872"/>
      <c r="AS43" s="872"/>
      <c r="AT43" s="872"/>
      <c r="AU43" s="872"/>
      <c r="AV43" s="872"/>
      <c r="AW43" s="872"/>
      <c r="AX43" s="873"/>
      <c r="AY43" s="877"/>
      <c r="AZ43" s="875">
        <f>SUM(BA43:BK43)</f>
        <v>1352300</v>
      </c>
      <c r="BA43" s="878">
        <f>AMPOP!J48</f>
        <v>1352300</v>
      </c>
      <c r="BB43" s="879"/>
      <c r="BC43" s="879"/>
      <c r="BD43" s="879"/>
      <c r="BE43" s="879"/>
      <c r="BF43" s="879"/>
      <c r="BG43" s="879"/>
      <c r="BH43" s="879"/>
      <c r="BI43" s="879"/>
      <c r="BJ43" s="879"/>
      <c r="BK43" s="880"/>
      <c r="BL43" s="1"/>
      <c r="BM43" s="1"/>
      <c r="BN43" s="1"/>
      <c r="BO43" s="1"/>
      <c r="BP43" s="1"/>
      <c r="BQ43" s="1"/>
      <c r="BR43" s="1"/>
    </row>
    <row r="44" spans="1:70" ht="19.5" customHeight="1">
      <c r="BL44" s="1"/>
      <c r="BM44" s="1"/>
      <c r="BN44" s="1"/>
      <c r="BO44" s="1"/>
      <c r="BP44" s="1"/>
      <c r="BQ44" s="1"/>
      <c r="BR44" s="1"/>
    </row>
    <row r="45" spans="1:70" ht="42" customHeight="1">
      <c r="BL45" s="1"/>
      <c r="BM45" s="1"/>
      <c r="BN45" s="1"/>
      <c r="BO45" s="1"/>
      <c r="BP45" s="1"/>
      <c r="BQ45" s="1"/>
      <c r="BR45" s="1"/>
    </row>
    <row r="49" spans="1:5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1:5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1:5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1:5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1:5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1:5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6" spans="1:5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1:5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1:5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sheetData>
  <mergeCells count="11">
    <mergeCell ref="A1:C1"/>
    <mergeCell ref="AZ3:BK3"/>
    <mergeCell ref="A7:A8"/>
    <mergeCell ref="A10:A12"/>
    <mergeCell ref="A40:A41"/>
    <mergeCell ref="P3:AA3"/>
    <mergeCell ref="A3:B4"/>
    <mergeCell ref="C3:C4"/>
    <mergeCell ref="D3:O3"/>
    <mergeCell ref="AB3:AM3"/>
    <mergeCell ref="AN3:AY3"/>
  </mergeCells>
  <pageMargins left="0.7" right="0.7" top="0.75" bottom="0.75" header="0.3" footer="0.3"/>
  <pageSetup paperSize="9" orientation="portrait" verticalDpi="0" r:id="rId1"/>
  <ignoredErrors>
    <ignoredError sqref="AZ15:BK30 AZ32:BK39 AZ31 AZ41:BK43 BK40 BB40:BI40 AB5:AD8 AN5 AZ5" formula="1"/>
    <ignoredError sqref="E5:O5 E7:O8"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O47"/>
  <sheetViews>
    <sheetView zoomScaleNormal="100" workbookViewId="0">
      <selection activeCell="M22" sqref="M22"/>
    </sheetView>
  </sheetViews>
  <sheetFormatPr defaultRowHeight="16.5"/>
  <cols>
    <col min="1" max="1" width="8.42578125" style="51" customWidth="1"/>
    <col min="2" max="2" width="11.5703125" style="51" customWidth="1"/>
    <col min="3" max="3" width="59" style="51" customWidth="1"/>
    <col min="4" max="4" width="12.140625" style="52" customWidth="1"/>
    <col min="5" max="5" width="12.5703125" style="52" customWidth="1"/>
    <col min="6" max="6" width="12.28515625" style="52" customWidth="1"/>
    <col min="7" max="7" width="10.140625" style="51" customWidth="1"/>
    <col min="8" max="8" width="9.28515625" style="51" bestFit="1" customWidth="1"/>
    <col min="9" max="9" width="12.42578125" style="51" customWidth="1"/>
    <col min="10" max="10" width="10.42578125" style="56" hidden="1" customWidth="1"/>
    <col min="11" max="11" width="6.28515625" style="56" hidden="1" customWidth="1"/>
    <col min="12" max="12" width="9.28515625" style="56" hidden="1" customWidth="1"/>
    <col min="13" max="13" width="11.7109375" style="46" customWidth="1"/>
    <col min="14" max="14" width="12" style="46" bestFit="1" customWidth="1"/>
    <col min="15" max="15" width="13" style="46" customWidth="1"/>
    <col min="16" max="16384" width="9.140625" style="51"/>
  </cols>
  <sheetData>
    <row r="1" spans="1:15" ht="17.25">
      <c r="A1" s="44" t="s">
        <v>89</v>
      </c>
    </row>
    <row r="2" spans="1:15" ht="10.5" customHeight="1"/>
    <row r="3" spans="1:15">
      <c r="A3" s="2" t="s">
        <v>316</v>
      </c>
    </row>
    <row r="4" spans="1:15" s="45" customFormat="1" ht="14.25" customHeight="1">
      <c r="D4" s="47"/>
      <c r="E4" s="47"/>
      <c r="F4" s="47"/>
      <c r="J4" s="57"/>
      <c r="K4" s="57"/>
      <c r="L4" s="57"/>
      <c r="M4" s="47"/>
      <c r="N4" s="47"/>
      <c r="O4" s="47"/>
    </row>
    <row r="5" spans="1:15" s="45" customFormat="1" ht="17.25" thickBot="1">
      <c r="D5" s="47"/>
      <c r="E5" s="47"/>
      <c r="F5" s="47"/>
      <c r="J5" s="57"/>
      <c r="K5" s="57"/>
      <c r="L5" s="57"/>
      <c r="M5" s="47"/>
      <c r="N5" s="47"/>
      <c r="O5" s="47"/>
    </row>
    <row r="6" spans="1:15" ht="49.5" customHeight="1">
      <c r="A6" s="1888" t="s">
        <v>6</v>
      </c>
      <c r="B6" s="1889"/>
      <c r="C6" s="1895" t="s">
        <v>90</v>
      </c>
      <c r="D6" s="1870" t="s">
        <v>91</v>
      </c>
      <c r="E6" s="1871"/>
      <c r="F6" s="1872"/>
      <c r="G6" s="1879" t="s">
        <v>92</v>
      </c>
      <c r="H6" s="1880"/>
      <c r="I6" s="1881"/>
      <c r="J6" s="1885" t="s">
        <v>93</v>
      </c>
      <c r="K6" s="1886"/>
      <c r="L6" s="1887"/>
      <c r="M6" s="1870" t="s">
        <v>94</v>
      </c>
      <c r="N6" s="1871"/>
      <c r="O6" s="1872"/>
    </row>
    <row r="7" spans="1:15" ht="17.25" thickBot="1">
      <c r="A7" s="1890"/>
      <c r="B7" s="1891"/>
      <c r="C7" s="1896"/>
      <c r="D7" s="1873"/>
      <c r="E7" s="1874"/>
      <c r="F7" s="1875"/>
      <c r="G7" s="1882"/>
      <c r="H7" s="1883"/>
      <c r="I7" s="1884"/>
      <c r="J7" s="1876" t="s">
        <v>95</v>
      </c>
      <c r="K7" s="1877"/>
      <c r="L7" s="1878"/>
      <c r="M7" s="1873"/>
      <c r="N7" s="1874"/>
      <c r="O7" s="1875"/>
    </row>
    <row r="8" spans="1:15" ht="26.25" customHeight="1" thickBot="1">
      <c r="A8" s="328" t="s">
        <v>40</v>
      </c>
      <c r="B8" s="329" t="s">
        <v>41</v>
      </c>
      <c r="C8" s="1897"/>
      <c r="D8" s="394" t="s">
        <v>96</v>
      </c>
      <c r="E8" s="395" t="s">
        <v>97</v>
      </c>
      <c r="F8" s="396" t="s">
        <v>286</v>
      </c>
      <c r="G8" s="397" t="s">
        <v>96</v>
      </c>
      <c r="H8" s="398" t="s">
        <v>97</v>
      </c>
      <c r="I8" s="399" t="s">
        <v>286</v>
      </c>
      <c r="J8" s="400" t="s">
        <v>96</v>
      </c>
      <c r="K8" s="398" t="s">
        <v>97</v>
      </c>
      <c r="L8" s="401" t="s">
        <v>286</v>
      </c>
      <c r="M8" s="397" t="s">
        <v>96</v>
      </c>
      <c r="N8" s="398" t="s">
        <v>97</v>
      </c>
      <c r="O8" s="399" t="s">
        <v>286</v>
      </c>
    </row>
    <row r="9" spans="1:15" ht="23.25" customHeight="1" thickBot="1">
      <c r="A9" s="1892" t="s">
        <v>98</v>
      </c>
      <c r="B9" s="1893"/>
      <c r="C9" s="1894"/>
      <c r="D9" s="327">
        <f>D10+D13+D17+D19+D33+D43+D46</f>
        <v>12578589.991268545</v>
      </c>
      <c r="E9" s="325">
        <f t="shared" ref="E9:F9" si="0">E10+E13+E17+E19+E33+E43+E46</f>
        <v>10069151.318019241</v>
      </c>
      <c r="F9" s="326">
        <f t="shared" si="0"/>
        <v>9870245.9742303025</v>
      </c>
      <c r="G9" s="327">
        <f t="shared" ref="G9" si="1">G10+G13+G17+G19+G33+G43+G46</f>
        <v>633921.1</v>
      </c>
      <c r="H9" s="325">
        <f t="shared" ref="H9" si="2">H10+H13+H17+H19+H33+H43+H46</f>
        <v>65159.5</v>
      </c>
      <c r="I9" s="326">
        <f t="shared" ref="I9" si="3">I10+I13+I17+I19+I33+I43+I46</f>
        <v>7579.7000000000007</v>
      </c>
      <c r="J9" s="332">
        <f t="shared" ref="J9" si="4">J10+J13+J17+J19+J33+J43+J46</f>
        <v>0</v>
      </c>
      <c r="K9" s="325">
        <f t="shared" ref="K9" si="5">K10+K13+K17+K19+K33+K43+K46</f>
        <v>0</v>
      </c>
      <c r="L9" s="325">
        <f t="shared" ref="L9" si="6">L10+L13+L17+L19+L33+L43+L46</f>
        <v>0</v>
      </c>
      <c r="M9" s="327">
        <f t="shared" ref="M9" si="7">M10+M13+M17+M19+M33+M43+M46</f>
        <v>12578556.091268547</v>
      </c>
      <c r="N9" s="325">
        <f t="shared" ref="N9" si="8">N10+N13+N17+N19+N33+N43+N46</f>
        <v>10069117.418019241</v>
      </c>
      <c r="O9" s="326">
        <f t="shared" ref="O9" si="9">O10+O13+O17+O19+O33+O43+O46</f>
        <v>9870212.0742303021</v>
      </c>
    </row>
    <row r="10" spans="1:15" ht="37.5" customHeight="1">
      <c r="A10" s="300">
        <v>1016</v>
      </c>
      <c r="B10" s="301"/>
      <c r="C10" s="302" t="s">
        <v>230</v>
      </c>
      <c r="D10" s="339">
        <f>D11+D12</f>
        <v>652343</v>
      </c>
      <c r="E10" s="254">
        <f t="shared" ref="E10:F10" si="10">E11+E12</f>
        <v>677077</v>
      </c>
      <c r="F10" s="279">
        <f t="shared" si="10"/>
        <v>680978.8</v>
      </c>
      <c r="G10" s="339">
        <f t="shared" ref="G10" si="11">G11+G12</f>
        <v>0</v>
      </c>
      <c r="H10" s="254">
        <f t="shared" ref="H10" si="12">H11+H12</f>
        <v>0</v>
      </c>
      <c r="I10" s="279">
        <f t="shared" ref="I10" si="13">I11+I12</f>
        <v>0</v>
      </c>
      <c r="J10" s="333">
        <f t="shared" ref="J10" si="14">J11+J12</f>
        <v>0</v>
      </c>
      <c r="K10" s="254">
        <f t="shared" ref="K10" si="15">K11+K12</f>
        <v>0</v>
      </c>
      <c r="L10" s="373">
        <f t="shared" ref="L10" si="16">L11+L12</f>
        <v>0</v>
      </c>
      <c r="M10" s="339">
        <f t="shared" ref="M10" si="17">M11+M12</f>
        <v>652343</v>
      </c>
      <c r="N10" s="254">
        <f t="shared" ref="N10" si="18">N11+N12</f>
        <v>677077</v>
      </c>
      <c r="O10" s="279">
        <f t="shared" ref="O10" si="19">O11+O12</f>
        <v>680978.8</v>
      </c>
    </row>
    <row r="11" spans="1:15" ht="32.25" customHeight="1">
      <c r="A11" s="1725"/>
      <c r="B11" s="226">
        <v>11001</v>
      </c>
      <c r="C11" s="177" t="s">
        <v>30</v>
      </c>
      <c r="D11" s="340">
        <f>AMPOP!H12</f>
        <v>45461.8</v>
      </c>
      <c r="E11" s="48">
        <f>AMPOP!I12</f>
        <v>45461.8</v>
      </c>
      <c r="F11" s="71">
        <f>AMPOP!J12</f>
        <v>45461.8</v>
      </c>
      <c r="G11" s="359"/>
      <c r="H11" s="315"/>
      <c r="I11" s="360"/>
      <c r="J11" s="355"/>
      <c r="K11" s="48"/>
      <c r="L11" s="374"/>
      <c r="M11" s="384">
        <f>D11-G11</f>
        <v>45461.8</v>
      </c>
      <c r="N11" s="53">
        <f t="shared" ref="N11:O11" si="20">E11-H11</f>
        <v>45461.8</v>
      </c>
      <c r="O11" s="69">
        <f t="shared" si="20"/>
        <v>45461.8</v>
      </c>
    </row>
    <row r="12" spans="1:15" ht="18" customHeight="1">
      <c r="A12" s="1726"/>
      <c r="B12" s="226">
        <v>11002</v>
      </c>
      <c r="C12" s="178" t="s">
        <v>231</v>
      </c>
      <c r="D12" s="340">
        <f>AMPOP!H13</f>
        <v>606881.19999999995</v>
      </c>
      <c r="E12" s="48">
        <f>AMPOP!I13</f>
        <v>631615.19999999995</v>
      </c>
      <c r="F12" s="71">
        <f>AMPOP!J13</f>
        <v>635517</v>
      </c>
      <c r="G12" s="359"/>
      <c r="H12" s="315"/>
      <c r="I12" s="360"/>
      <c r="J12" s="355"/>
      <c r="K12" s="48"/>
      <c r="L12" s="374"/>
      <c r="M12" s="384">
        <f>D12-G12</f>
        <v>606881.19999999995</v>
      </c>
      <c r="N12" s="53">
        <f t="shared" ref="N12" si="21">E12-H12</f>
        <v>631615.19999999995</v>
      </c>
      <c r="O12" s="69">
        <f t="shared" ref="O12" si="22">F12-I12</f>
        <v>635517</v>
      </c>
    </row>
    <row r="13" spans="1:15" ht="32.25" customHeight="1">
      <c r="A13" s="189" t="s">
        <v>232</v>
      </c>
      <c r="B13" s="267"/>
      <c r="C13" s="186" t="s">
        <v>259</v>
      </c>
      <c r="D13" s="341">
        <f>D14+D15+D16</f>
        <v>1195394.0115069451</v>
      </c>
      <c r="E13" s="312">
        <f>E14+E15+E16</f>
        <v>1205297.6514630804</v>
      </c>
      <c r="F13" s="342">
        <f t="shared" ref="F13" si="23">F14+F15+F16</f>
        <v>1213894.9512687006</v>
      </c>
      <c r="G13" s="341">
        <f t="shared" ref="G13" si="24">G14+G15+G16</f>
        <v>0</v>
      </c>
      <c r="H13" s="312">
        <f t="shared" ref="H13" si="25">H14+H15+H16</f>
        <v>0</v>
      </c>
      <c r="I13" s="342">
        <f t="shared" ref="I13" si="26">I14+I15+I16</f>
        <v>0</v>
      </c>
      <c r="J13" s="334"/>
      <c r="K13" s="312"/>
      <c r="L13" s="375"/>
      <c r="M13" s="385">
        <f>M14+M15+M16</f>
        <v>1195394.0115069451</v>
      </c>
      <c r="N13" s="313">
        <f t="shared" ref="N13:O13" si="27">N14+N15+N16</f>
        <v>1205297.6514630804</v>
      </c>
      <c r="O13" s="314">
        <f t="shared" si="27"/>
        <v>1213894.9512687006</v>
      </c>
    </row>
    <row r="14" spans="1:15" ht="33" customHeight="1">
      <c r="A14" s="1725"/>
      <c r="B14" s="227">
        <v>11001</v>
      </c>
      <c r="C14" s="177" t="s">
        <v>260</v>
      </c>
      <c r="D14" s="340">
        <f>AMPOP!H15</f>
        <v>1080412.7118768911</v>
      </c>
      <c r="E14" s="48">
        <f>AMPOP!I15</f>
        <v>1090316.3318330264</v>
      </c>
      <c r="F14" s="71">
        <f>AMPOP!J15</f>
        <v>1098913.6316386466</v>
      </c>
      <c r="G14" s="359"/>
      <c r="H14" s="315"/>
      <c r="I14" s="360"/>
      <c r="J14" s="355"/>
      <c r="K14" s="48"/>
      <c r="L14" s="374"/>
      <c r="M14" s="384">
        <f>D14-G14</f>
        <v>1080412.7118768911</v>
      </c>
      <c r="N14" s="53">
        <f t="shared" ref="N14" si="28">E14-H14</f>
        <v>1090316.3318330264</v>
      </c>
      <c r="O14" s="69">
        <f t="shared" ref="O14" si="29">F14-I14</f>
        <v>1098913.6316386466</v>
      </c>
    </row>
    <row r="15" spans="1:15" ht="23.25" customHeight="1">
      <c r="A15" s="1744"/>
      <c r="B15" s="227">
        <v>11002</v>
      </c>
      <c r="C15" s="179" t="s">
        <v>261</v>
      </c>
      <c r="D15" s="340">
        <f>AMPOP!H16</f>
        <v>99042.700430054028</v>
      </c>
      <c r="E15" s="48">
        <f>AMPOP!I16</f>
        <v>99042.720430054018</v>
      </c>
      <c r="F15" s="71">
        <f>AMPOP!J16</f>
        <v>99042.720430054018</v>
      </c>
      <c r="G15" s="359"/>
      <c r="H15" s="315"/>
      <c r="I15" s="360"/>
      <c r="J15" s="355"/>
      <c r="K15" s="48"/>
      <c r="L15" s="374"/>
      <c r="M15" s="384">
        <f t="shared" ref="M15:M16" si="30">D15-G15</f>
        <v>99042.700430054028</v>
      </c>
      <c r="N15" s="53">
        <f t="shared" ref="N15:N16" si="31">E15-H15</f>
        <v>99042.720430054018</v>
      </c>
      <c r="O15" s="69">
        <f t="shared" ref="O15:O16" si="32">F15-I15</f>
        <v>99042.720430054018</v>
      </c>
    </row>
    <row r="16" spans="1:15" s="55" customFormat="1" ht="33" customHeight="1">
      <c r="A16" s="1726"/>
      <c r="B16" s="227">
        <v>31001</v>
      </c>
      <c r="C16" s="177" t="s">
        <v>262</v>
      </c>
      <c r="D16" s="340">
        <f>AMPOP!H17</f>
        <v>15938.599199999999</v>
      </c>
      <c r="E16" s="48">
        <f>AMPOP!I17</f>
        <v>15938.599199999999</v>
      </c>
      <c r="F16" s="71">
        <f>AMPOP!J17</f>
        <v>15938.599199999999</v>
      </c>
      <c r="G16" s="361"/>
      <c r="H16" s="54"/>
      <c r="I16" s="70"/>
      <c r="J16" s="335"/>
      <c r="K16" s="54"/>
      <c r="L16" s="376"/>
      <c r="M16" s="384">
        <f t="shared" si="30"/>
        <v>15938.599199999999</v>
      </c>
      <c r="N16" s="53">
        <f t="shared" si="31"/>
        <v>15938.599199999999</v>
      </c>
      <c r="O16" s="69">
        <f t="shared" si="32"/>
        <v>15938.599199999999</v>
      </c>
    </row>
    <row r="17" spans="1:15" ht="31.5" customHeight="1">
      <c r="A17" s="190" t="s">
        <v>233</v>
      </c>
      <c r="B17" s="223"/>
      <c r="C17" s="185" t="s">
        <v>234</v>
      </c>
      <c r="D17" s="343">
        <f>'N 5_Gorcarnakan'!I13</f>
        <v>633955</v>
      </c>
      <c r="E17" s="252">
        <f>'N 5_Gorcarnakan'!J13</f>
        <v>65193.4</v>
      </c>
      <c r="F17" s="280">
        <f>'N 5_Gorcarnakan'!K13</f>
        <v>7613.6</v>
      </c>
      <c r="G17" s="343">
        <f>'N 5_Gorcarnakan'!L13</f>
        <v>633955</v>
      </c>
      <c r="H17" s="252">
        <f>'N 5_Gorcarnakan'!M13</f>
        <v>65193.4</v>
      </c>
      <c r="I17" s="280">
        <f>'N 5_Gorcarnakan'!N13</f>
        <v>7613.6</v>
      </c>
      <c r="J17" s="336">
        <f>'N 5_Gorcarnakan'!O13</f>
        <v>0</v>
      </c>
      <c r="K17" s="252">
        <f>'N 5_Gorcarnakan'!P13</f>
        <v>0</v>
      </c>
      <c r="L17" s="377">
        <f>'N 5_Gorcarnakan'!Q13</f>
        <v>0</v>
      </c>
      <c r="M17" s="385">
        <f>M18</f>
        <v>633955</v>
      </c>
      <c r="N17" s="313">
        <f t="shared" ref="N17:O17" si="33">N18</f>
        <v>65193.4</v>
      </c>
      <c r="O17" s="314">
        <f t="shared" si="33"/>
        <v>7613.6</v>
      </c>
    </row>
    <row r="18" spans="1:15" ht="27.75" customHeight="1">
      <c r="A18" s="191"/>
      <c r="B18" s="228">
        <v>12001</v>
      </c>
      <c r="C18" s="180" t="s">
        <v>235</v>
      </c>
      <c r="D18" s="344">
        <f>AMPOP!H19</f>
        <v>633955</v>
      </c>
      <c r="E18" s="49">
        <f>AMPOP!I19</f>
        <v>65193.4</v>
      </c>
      <c r="F18" s="345">
        <f>AMPOP!J19</f>
        <v>7613.6</v>
      </c>
      <c r="G18" s="359"/>
      <c r="H18" s="315"/>
      <c r="I18" s="360"/>
      <c r="J18" s="355"/>
      <c r="K18" s="48"/>
      <c r="L18" s="374"/>
      <c r="M18" s="384">
        <f t="shared" ref="M18" si="34">D18-G18</f>
        <v>633955</v>
      </c>
      <c r="N18" s="53">
        <f t="shared" ref="N18" si="35">E18-H18</f>
        <v>65193.4</v>
      </c>
      <c r="O18" s="69">
        <f t="shared" ref="O18" si="36">F18-I18</f>
        <v>7613.6</v>
      </c>
    </row>
    <row r="19" spans="1:15" ht="33.75" customHeight="1">
      <c r="A19" s="189" t="s">
        <v>236</v>
      </c>
      <c r="B19" s="267"/>
      <c r="C19" s="186" t="s">
        <v>237</v>
      </c>
      <c r="D19" s="343">
        <f>SUM(D20:D32)</f>
        <v>3574072.84</v>
      </c>
      <c r="E19" s="252">
        <f t="shared" ref="E19:O19" si="37">SUM(E20:E32)</f>
        <v>1515825</v>
      </c>
      <c r="F19" s="280">
        <f t="shared" si="37"/>
        <v>1515825</v>
      </c>
      <c r="G19" s="343">
        <f t="shared" si="37"/>
        <v>-33.9</v>
      </c>
      <c r="H19" s="252">
        <f t="shared" si="37"/>
        <v>-33.9</v>
      </c>
      <c r="I19" s="280">
        <f t="shared" si="37"/>
        <v>-33.9</v>
      </c>
      <c r="J19" s="336">
        <f t="shared" si="37"/>
        <v>0</v>
      </c>
      <c r="K19" s="252">
        <f t="shared" si="37"/>
        <v>0</v>
      </c>
      <c r="L19" s="377">
        <f t="shared" si="37"/>
        <v>0</v>
      </c>
      <c r="M19" s="343">
        <f t="shared" si="37"/>
        <v>3574038.9400000004</v>
      </c>
      <c r="N19" s="252">
        <f t="shared" si="37"/>
        <v>1515791.1</v>
      </c>
      <c r="O19" s="280">
        <f t="shared" si="37"/>
        <v>1515791.1</v>
      </c>
    </row>
    <row r="20" spans="1:15" ht="62.25" customHeight="1">
      <c r="A20" s="192"/>
      <c r="B20" s="229">
        <v>11001</v>
      </c>
      <c r="C20" s="179" t="s">
        <v>238</v>
      </c>
      <c r="D20" s="344">
        <f>AMPOP!H21</f>
        <v>546828.93999999994</v>
      </c>
      <c r="E20" s="49">
        <f>AMPOP!I21</f>
        <v>0</v>
      </c>
      <c r="F20" s="345">
        <f>AMPOP!J21</f>
        <v>0</v>
      </c>
      <c r="G20" s="359"/>
      <c r="H20" s="315"/>
      <c r="I20" s="360"/>
      <c r="J20" s="355"/>
      <c r="K20" s="48"/>
      <c r="L20" s="374"/>
      <c r="M20" s="384">
        <f t="shared" ref="M20:M32" si="38">D20-G20</f>
        <v>546828.93999999994</v>
      </c>
      <c r="N20" s="53">
        <f t="shared" ref="N20:N32" si="39">E20-H20</f>
        <v>0</v>
      </c>
      <c r="O20" s="69">
        <f t="shared" ref="O20:O32" si="40">F20-I20</f>
        <v>0</v>
      </c>
    </row>
    <row r="21" spans="1:15" ht="26.25" customHeight="1">
      <c r="A21" s="193"/>
      <c r="B21" s="229">
        <v>11002</v>
      </c>
      <c r="C21" s="179" t="s">
        <v>239</v>
      </c>
      <c r="D21" s="344">
        <f>AMPOP!H22</f>
        <v>216804.1</v>
      </c>
      <c r="E21" s="49">
        <f>AMPOP!I22</f>
        <v>216804.1</v>
      </c>
      <c r="F21" s="345">
        <f>AMPOP!J22</f>
        <v>216804.1</v>
      </c>
      <c r="G21" s="359"/>
      <c r="H21" s="315"/>
      <c r="I21" s="360"/>
      <c r="J21" s="355"/>
      <c r="K21" s="48"/>
      <c r="L21" s="374"/>
      <c r="M21" s="384">
        <f t="shared" si="38"/>
        <v>216804.1</v>
      </c>
      <c r="N21" s="53">
        <f t="shared" si="39"/>
        <v>216804.1</v>
      </c>
      <c r="O21" s="69">
        <f t="shared" si="40"/>
        <v>216804.1</v>
      </c>
    </row>
    <row r="22" spans="1:15" ht="35.25" customHeight="1">
      <c r="A22" s="193"/>
      <c r="B22" s="229">
        <v>11003</v>
      </c>
      <c r="C22" s="179" t="s">
        <v>240</v>
      </c>
      <c r="D22" s="344">
        <v>7624.3</v>
      </c>
      <c r="E22" s="49">
        <v>7624.3</v>
      </c>
      <c r="F22" s="345">
        <v>7624.3</v>
      </c>
      <c r="G22" s="402">
        <v>-33.9</v>
      </c>
      <c r="H22" s="403">
        <v>-33.9</v>
      </c>
      <c r="I22" s="404">
        <v>-33.9</v>
      </c>
      <c r="J22" s="355"/>
      <c r="K22" s="48"/>
      <c r="L22" s="374"/>
      <c r="M22" s="384">
        <f>D22+G22</f>
        <v>7590.4000000000005</v>
      </c>
      <c r="N22" s="53">
        <f>E22+H22</f>
        <v>7590.4000000000005</v>
      </c>
      <c r="O22" s="69">
        <f>F22+I22</f>
        <v>7590.4000000000005</v>
      </c>
    </row>
    <row r="23" spans="1:15" ht="47.25" customHeight="1">
      <c r="A23" s="193"/>
      <c r="B23" s="229">
        <v>11004</v>
      </c>
      <c r="C23" s="177" t="s">
        <v>241</v>
      </c>
      <c r="D23" s="344">
        <f>AMPOP!H24</f>
        <v>303897.7</v>
      </c>
      <c r="E23" s="49">
        <f>AMPOP!I24</f>
        <v>303897.7</v>
      </c>
      <c r="F23" s="345">
        <f>AMPOP!J24</f>
        <v>303897.7</v>
      </c>
      <c r="G23" s="359"/>
      <c r="H23" s="315"/>
      <c r="I23" s="360"/>
      <c r="J23" s="355"/>
      <c r="K23" s="48"/>
      <c r="L23" s="374"/>
      <c r="M23" s="384">
        <f t="shared" si="38"/>
        <v>303897.7</v>
      </c>
      <c r="N23" s="53">
        <f t="shared" si="39"/>
        <v>303897.7</v>
      </c>
      <c r="O23" s="69">
        <f t="shared" si="40"/>
        <v>303897.7</v>
      </c>
    </row>
    <row r="24" spans="1:15" s="55" customFormat="1" ht="45" customHeight="1">
      <c r="A24" s="193"/>
      <c r="B24" s="229">
        <v>11005</v>
      </c>
      <c r="C24" s="179" t="s">
        <v>242</v>
      </c>
      <c r="D24" s="344">
        <f>AMPOP!H25</f>
        <v>164366.29999999999</v>
      </c>
      <c r="E24" s="49">
        <f>AMPOP!I25</f>
        <v>164366.29999999999</v>
      </c>
      <c r="F24" s="345">
        <f>AMPOP!J25</f>
        <v>164366.29999999999</v>
      </c>
      <c r="G24" s="361"/>
      <c r="H24" s="54"/>
      <c r="I24" s="70"/>
      <c r="J24" s="270"/>
      <c r="K24" s="38"/>
      <c r="L24" s="378"/>
      <c r="M24" s="384">
        <f t="shared" si="38"/>
        <v>164366.29999999999</v>
      </c>
      <c r="N24" s="53">
        <f t="shared" si="39"/>
        <v>164366.29999999999</v>
      </c>
      <c r="O24" s="69">
        <f t="shared" si="40"/>
        <v>164366.29999999999</v>
      </c>
    </row>
    <row r="25" spans="1:15" ht="41.25" customHeight="1">
      <c r="A25" s="193"/>
      <c r="B25" s="229">
        <v>11006</v>
      </c>
      <c r="C25" s="179" t="s">
        <v>243</v>
      </c>
      <c r="D25" s="344">
        <f>AMPOP!H26</f>
        <v>388284.1</v>
      </c>
      <c r="E25" s="49">
        <f>AMPOP!I26</f>
        <v>388284.1</v>
      </c>
      <c r="F25" s="345">
        <f>AMPOP!J26</f>
        <v>388284.1</v>
      </c>
      <c r="G25" s="359"/>
      <c r="H25" s="315"/>
      <c r="I25" s="360"/>
      <c r="J25" s="355"/>
      <c r="K25" s="48"/>
      <c r="L25" s="374"/>
      <c r="M25" s="384">
        <f t="shared" si="38"/>
        <v>388284.1</v>
      </c>
      <c r="N25" s="53">
        <f t="shared" si="39"/>
        <v>388284.1</v>
      </c>
      <c r="O25" s="69">
        <f t="shared" si="40"/>
        <v>388284.1</v>
      </c>
    </row>
    <row r="26" spans="1:15" ht="30.75" customHeight="1">
      <c r="A26" s="193"/>
      <c r="B26" s="229">
        <v>11007</v>
      </c>
      <c r="C26" s="179" t="s">
        <v>244</v>
      </c>
      <c r="D26" s="344">
        <f>AMPOP!H27</f>
        <v>171532.79999999999</v>
      </c>
      <c r="E26" s="49">
        <f>AMPOP!I27</f>
        <v>171532.79999999999</v>
      </c>
      <c r="F26" s="345">
        <f>AMPOP!J27</f>
        <v>171532.79999999999</v>
      </c>
      <c r="G26" s="359"/>
      <c r="H26" s="315"/>
      <c r="I26" s="360"/>
      <c r="J26" s="355"/>
      <c r="K26" s="48"/>
      <c r="L26" s="374"/>
      <c r="M26" s="384">
        <f t="shared" si="38"/>
        <v>171532.79999999999</v>
      </c>
      <c r="N26" s="53">
        <f t="shared" si="39"/>
        <v>171532.79999999999</v>
      </c>
      <c r="O26" s="69">
        <f t="shared" si="40"/>
        <v>171532.79999999999</v>
      </c>
    </row>
    <row r="27" spans="1:15" ht="36.75" customHeight="1">
      <c r="A27" s="194"/>
      <c r="B27" s="229">
        <v>11008</v>
      </c>
      <c r="C27" s="179" t="s">
        <v>263</v>
      </c>
      <c r="D27" s="344">
        <f>AMPOP!H28</f>
        <v>70764.899999999994</v>
      </c>
      <c r="E27" s="49">
        <f>AMPOP!I28</f>
        <v>70764.899999999994</v>
      </c>
      <c r="F27" s="345">
        <f>AMPOP!J28</f>
        <v>70764.899999999994</v>
      </c>
      <c r="G27" s="362"/>
      <c r="H27" s="38"/>
      <c r="I27" s="68"/>
      <c r="J27" s="270"/>
      <c r="K27" s="38"/>
      <c r="L27" s="378"/>
      <c r="M27" s="384">
        <f t="shared" si="38"/>
        <v>70764.899999999994</v>
      </c>
      <c r="N27" s="53">
        <f t="shared" si="39"/>
        <v>70764.899999999994</v>
      </c>
      <c r="O27" s="69">
        <f t="shared" si="40"/>
        <v>70764.899999999994</v>
      </c>
    </row>
    <row r="28" spans="1:15" ht="31.5" customHeight="1">
      <c r="A28" s="192"/>
      <c r="B28" s="230">
        <v>11009</v>
      </c>
      <c r="C28" s="181" t="s">
        <v>264</v>
      </c>
      <c r="D28" s="344">
        <f>AMPOP!H29</f>
        <v>16026.6</v>
      </c>
      <c r="E28" s="49">
        <f>AMPOP!I29</f>
        <v>16026.6</v>
      </c>
      <c r="F28" s="345">
        <f>AMPOP!J29</f>
        <v>16026.6</v>
      </c>
      <c r="G28" s="363"/>
      <c r="H28" s="50"/>
      <c r="I28" s="364"/>
      <c r="J28" s="337"/>
      <c r="K28" s="50"/>
      <c r="L28" s="379"/>
      <c r="M28" s="384">
        <f t="shared" si="38"/>
        <v>16026.6</v>
      </c>
      <c r="N28" s="53">
        <f t="shared" si="39"/>
        <v>16026.6</v>
      </c>
      <c r="O28" s="69">
        <f t="shared" si="40"/>
        <v>16026.6</v>
      </c>
    </row>
    <row r="29" spans="1:15" ht="45" customHeight="1">
      <c r="A29" s="193"/>
      <c r="B29" s="229">
        <v>11010</v>
      </c>
      <c r="C29" s="179" t="s">
        <v>245</v>
      </c>
      <c r="D29" s="344">
        <f>AMPOP!H30</f>
        <v>169524.2</v>
      </c>
      <c r="E29" s="49">
        <f>AMPOP!I30</f>
        <v>169524.2</v>
      </c>
      <c r="F29" s="345">
        <f>AMPOP!J30</f>
        <v>169524.2</v>
      </c>
      <c r="G29" s="362"/>
      <c r="H29" s="38"/>
      <c r="I29" s="68"/>
      <c r="J29" s="270"/>
      <c r="K29" s="38"/>
      <c r="L29" s="378"/>
      <c r="M29" s="384">
        <f t="shared" si="38"/>
        <v>169524.2</v>
      </c>
      <c r="N29" s="53">
        <f t="shared" si="39"/>
        <v>169524.2</v>
      </c>
      <c r="O29" s="69">
        <f t="shared" si="40"/>
        <v>169524.2</v>
      </c>
    </row>
    <row r="30" spans="1:15" ht="35.25" customHeight="1">
      <c r="A30" s="193"/>
      <c r="B30" s="229">
        <v>12001</v>
      </c>
      <c r="C30" s="177" t="s">
        <v>19</v>
      </c>
      <c r="D30" s="344">
        <f>AMPOP!H31</f>
        <v>7000</v>
      </c>
      <c r="E30" s="49">
        <f>AMPOP!I31</f>
        <v>7000</v>
      </c>
      <c r="F30" s="345">
        <f>AMPOP!J31</f>
        <v>7000</v>
      </c>
      <c r="G30" s="359"/>
      <c r="H30" s="315"/>
      <c r="I30" s="360"/>
      <c r="J30" s="355"/>
      <c r="K30" s="48"/>
      <c r="L30" s="374"/>
      <c r="M30" s="384">
        <f t="shared" si="38"/>
        <v>7000</v>
      </c>
      <c r="N30" s="53">
        <f t="shared" si="39"/>
        <v>7000</v>
      </c>
      <c r="O30" s="69">
        <f t="shared" si="40"/>
        <v>7000</v>
      </c>
    </row>
    <row r="31" spans="1:15" ht="80.25" customHeight="1">
      <c r="A31" s="193"/>
      <c r="B31" s="229">
        <v>12002</v>
      </c>
      <c r="C31" s="179" t="s">
        <v>246</v>
      </c>
      <c r="D31" s="344">
        <f>AMPOP!H32</f>
        <v>516632.78</v>
      </c>
      <c r="E31" s="49">
        <f>AMPOP!I32</f>
        <v>0</v>
      </c>
      <c r="F31" s="345">
        <f>AMPOP!J32</f>
        <v>0</v>
      </c>
      <c r="G31" s="359"/>
      <c r="H31" s="315"/>
      <c r="I31" s="360"/>
      <c r="J31" s="355"/>
      <c r="K31" s="48"/>
      <c r="L31" s="374"/>
      <c r="M31" s="384">
        <f t="shared" si="38"/>
        <v>516632.78</v>
      </c>
      <c r="N31" s="53">
        <f t="shared" si="39"/>
        <v>0</v>
      </c>
      <c r="O31" s="69">
        <f t="shared" si="40"/>
        <v>0</v>
      </c>
    </row>
    <row r="32" spans="1:15" ht="69.75" customHeight="1" thickBot="1">
      <c r="A32" s="193"/>
      <c r="B32" s="281">
        <v>32001</v>
      </c>
      <c r="C32" s="182" t="s">
        <v>275</v>
      </c>
      <c r="D32" s="344">
        <f>AMPOP!H33</f>
        <v>994786.12000000011</v>
      </c>
      <c r="E32" s="49">
        <f>AMPOP!I33</f>
        <v>0</v>
      </c>
      <c r="F32" s="345">
        <f>AMPOP!J33</f>
        <v>0</v>
      </c>
      <c r="G32" s="365"/>
      <c r="H32" s="330"/>
      <c r="I32" s="366"/>
      <c r="J32" s="356"/>
      <c r="K32" s="316"/>
      <c r="L32" s="380"/>
      <c r="M32" s="386">
        <f t="shared" si="38"/>
        <v>994786.12000000011</v>
      </c>
      <c r="N32" s="317">
        <f t="shared" si="39"/>
        <v>0</v>
      </c>
      <c r="O32" s="387">
        <f t="shared" si="40"/>
        <v>0</v>
      </c>
    </row>
    <row r="33" spans="1:15" s="67" customFormat="1" ht="24" customHeight="1" thickBot="1">
      <c r="A33" s="256" t="s">
        <v>247</v>
      </c>
      <c r="B33" s="282"/>
      <c r="C33" s="257" t="s">
        <v>248</v>
      </c>
      <c r="D33" s="348">
        <f>SUM(D34:D42)</f>
        <v>4825202.8397615999</v>
      </c>
      <c r="E33" s="321">
        <f t="shared" ref="E33:F33" si="41">SUM(E34:E42)</f>
        <v>4908135.9665561598</v>
      </c>
      <c r="F33" s="349">
        <f t="shared" si="41"/>
        <v>4754311.3229616005</v>
      </c>
      <c r="G33" s="348">
        <f t="shared" ref="G33" si="42">SUM(G34:G42)</f>
        <v>0</v>
      </c>
      <c r="H33" s="321">
        <f t="shared" ref="H33" si="43">SUM(H34:H42)</f>
        <v>0</v>
      </c>
      <c r="I33" s="349">
        <f t="shared" ref="I33" si="44">SUM(I34:I42)</f>
        <v>0</v>
      </c>
      <c r="J33" s="357"/>
      <c r="K33" s="322"/>
      <c r="L33" s="381"/>
      <c r="M33" s="388">
        <f t="shared" ref="M33:M47" si="45">D33+G33+J33</f>
        <v>4825202.8397615999</v>
      </c>
      <c r="N33" s="323">
        <f t="shared" ref="N33:N47" si="46">E33+H33+K33</f>
        <v>4908135.9665561598</v>
      </c>
      <c r="O33" s="324">
        <f t="shared" ref="O33:O47" si="47">F33+I33+L33</f>
        <v>4754311.3229616005</v>
      </c>
    </row>
    <row r="34" spans="1:15" ht="33.75" customHeight="1">
      <c r="A34" s="211"/>
      <c r="B34" s="231">
        <v>11001</v>
      </c>
      <c r="C34" s="181" t="s">
        <v>249</v>
      </c>
      <c r="D34" s="350">
        <f>AMPOP!H35</f>
        <v>255191.03976159997</v>
      </c>
      <c r="E34" s="308">
        <f>AMPOP!I35</f>
        <v>256800.76655616</v>
      </c>
      <c r="F34" s="351">
        <f>AMPOP!J35</f>
        <v>258580.52296159993</v>
      </c>
      <c r="G34" s="367"/>
      <c r="H34" s="331"/>
      <c r="I34" s="368"/>
      <c r="J34" s="358"/>
      <c r="K34" s="309"/>
      <c r="L34" s="382"/>
      <c r="M34" s="389">
        <f t="shared" ref="M34" si="48">D34-G34</f>
        <v>255191.03976159997</v>
      </c>
      <c r="N34" s="310">
        <f t="shared" ref="N34" si="49">E34-H34</f>
        <v>256800.76655616</v>
      </c>
      <c r="O34" s="311">
        <f t="shared" ref="O34" si="50">F34-I34</f>
        <v>258580.52296159993</v>
      </c>
    </row>
    <row r="35" spans="1:15">
      <c r="A35" s="211"/>
      <c r="B35" s="227">
        <v>11002</v>
      </c>
      <c r="C35" s="179" t="s">
        <v>28</v>
      </c>
      <c r="D35" s="344">
        <f>AMPOP!H36</f>
        <v>1850350.2</v>
      </c>
      <c r="E35" s="49">
        <f>AMPOP!I36</f>
        <v>1850350.2</v>
      </c>
      <c r="F35" s="345">
        <f>AMPOP!J36</f>
        <v>1850350.2</v>
      </c>
      <c r="G35" s="359"/>
      <c r="H35" s="315"/>
      <c r="I35" s="360"/>
      <c r="J35" s="355"/>
      <c r="K35" s="48"/>
      <c r="L35" s="374"/>
      <c r="M35" s="384">
        <f t="shared" ref="M35:M42" si="51">D35-G35</f>
        <v>1850350.2</v>
      </c>
      <c r="N35" s="53">
        <f t="shared" ref="N35:N42" si="52">E35-H35</f>
        <v>1850350.2</v>
      </c>
      <c r="O35" s="69">
        <f t="shared" ref="O35:O42" si="53">F35-I35</f>
        <v>1850350.2</v>
      </c>
    </row>
    <row r="36" spans="1:15">
      <c r="A36" s="211"/>
      <c r="B36" s="227">
        <v>11003</v>
      </c>
      <c r="C36" s="179" t="s">
        <v>250</v>
      </c>
      <c r="D36" s="344">
        <f>AMPOP!H37</f>
        <v>15000</v>
      </c>
      <c r="E36" s="49">
        <f>AMPOP!I37</f>
        <v>15000</v>
      </c>
      <c r="F36" s="345">
        <f>AMPOP!J37</f>
        <v>15000</v>
      </c>
      <c r="G36" s="359"/>
      <c r="H36" s="315"/>
      <c r="I36" s="360"/>
      <c r="J36" s="355"/>
      <c r="K36" s="48"/>
      <c r="L36" s="374"/>
      <c r="M36" s="384">
        <f t="shared" si="51"/>
        <v>15000</v>
      </c>
      <c r="N36" s="53">
        <f t="shared" si="52"/>
        <v>15000</v>
      </c>
      <c r="O36" s="69">
        <f t="shared" si="53"/>
        <v>15000</v>
      </c>
    </row>
    <row r="37" spans="1:15" ht="18" customHeight="1">
      <c r="A37" s="211"/>
      <c r="B37" s="231">
        <v>11004</v>
      </c>
      <c r="C37" s="178" t="s">
        <v>251</v>
      </c>
      <c r="D37" s="344">
        <f>AMPOP!H38</f>
        <v>76800</v>
      </c>
      <c r="E37" s="49">
        <f>AMPOP!I38</f>
        <v>76800</v>
      </c>
      <c r="F37" s="345">
        <f>AMPOP!J38</f>
        <v>76800</v>
      </c>
      <c r="G37" s="359"/>
      <c r="H37" s="315"/>
      <c r="I37" s="360"/>
      <c r="J37" s="355"/>
      <c r="K37" s="48"/>
      <c r="L37" s="374"/>
      <c r="M37" s="384">
        <f t="shared" si="51"/>
        <v>76800</v>
      </c>
      <c r="N37" s="53">
        <f t="shared" si="52"/>
        <v>76800</v>
      </c>
      <c r="O37" s="69">
        <f t="shared" si="53"/>
        <v>76800</v>
      </c>
    </row>
    <row r="38" spans="1:15" ht="20.25" customHeight="1">
      <c r="A38" s="211"/>
      <c r="B38" s="227">
        <v>11005</v>
      </c>
      <c r="C38" s="179" t="s">
        <v>252</v>
      </c>
      <c r="D38" s="344">
        <f>AMPOP!H39</f>
        <v>53325.8</v>
      </c>
      <c r="E38" s="49">
        <f>AMPOP!I39</f>
        <v>53325.8</v>
      </c>
      <c r="F38" s="345">
        <f>AMPOP!J39</f>
        <v>53325.8</v>
      </c>
      <c r="G38" s="359"/>
      <c r="H38" s="315"/>
      <c r="I38" s="360"/>
      <c r="J38" s="355"/>
      <c r="K38" s="48"/>
      <c r="L38" s="374"/>
      <c r="M38" s="384">
        <f t="shared" si="51"/>
        <v>53325.8</v>
      </c>
      <c r="N38" s="53">
        <f t="shared" si="52"/>
        <v>53325.8</v>
      </c>
      <c r="O38" s="69">
        <f t="shared" si="53"/>
        <v>53325.8</v>
      </c>
    </row>
    <row r="39" spans="1:15" ht="33.75" customHeight="1">
      <c r="A39" s="210"/>
      <c r="B39" s="231">
        <v>31001</v>
      </c>
      <c r="C39" s="179" t="s">
        <v>265</v>
      </c>
      <c r="D39" s="344">
        <f>AMPOP!H40</f>
        <v>0</v>
      </c>
      <c r="E39" s="49">
        <f>AMPOP!I40</f>
        <v>0</v>
      </c>
      <c r="F39" s="345">
        <f>AMPOP!J40</f>
        <v>0</v>
      </c>
      <c r="G39" s="359"/>
      <c r="H39" s="315"/>
      <c r="I39" s="360"/>
      <c r="J39" s="355"/>
      <c r="K39" s="48"/>
      <c r="L39" s="374"/>
      <c r="M39" s="384">
        <f>D39-G39</f>
        <v>0</v>
      </c>
      <c r="N39" s="53">
        <f>E39-H39</f>
        <v>0</v>
      </c>
      <c r="O39" s="69">
        <f>F39-I39</f>
        <v>0</v>
      </c>
    </row>
    <row r="40" spans="1:15" ht="30.75" customHeight="1">
      <c r="A40" s="211"/>
      <c r="B40" s="232">
        <v>31003</v>
      </c>
      <c r="C40" s="179" t="s">
        <v>266</v>
      </c>
      <c r="D40" s="344">
        <f>AMPOP!H41</f>
        <v>0</v>
      </c>
      <c r="E40" s="49">
        <f>AMPOP!I41</f>
        <v>0</v>
      </c>
      <c r="F40" s="345">
        <f>AMPOP!J41</f>
        <v>0</v>
      </c>
      <c r="G40" s="359"/>
      <c r="H40" s="315"/>
      <c r="I40" s="360"/>
      <c r="J40" s="355"/>
      <c r="K40" s="48"/>
      <c r="L40" s="374"/>
      <c r="M40" s="384">
        <f t="shared" si="51"/>
        <v>0</v>
      </c>
      <c r="N40" s="53">
        <f t="shared" si="52"/>
        <v>0</v>
      </c>
      <c r="O40" s="69">
        <f t="shared" si="53"/>
        <v>0</v>
      </c>
    </row>
    <row r="41" spans="1:15">
      <c r="A41" s="211"/>
      <c r="B41" s="227">
        <v>32001</v>
      </c>
      <c r="C41" s="179" t="s">
        <v>253</v>
      </c>
      <c r="D41" s="344">
        <f>AMPOP!H42</f>
        <v>2381608.7000000002</v>
      </c>
      <c r="E41" s="49">
        <f>AMPOP!I42</f>
        <v>2405032.7999999998</v>
      </c>
      <c r="F41" s="345">
        <f>AMPOP!J42</f>
        <v>2248867.9</v>
      </c>
      <c r="G41" s="359"/>
      <c r="H41" s="315"/>
      <c r="I41" s="360"/>
      <c r="J41" s="355"/>
      <c r="K41" s="48"/>
      <c r="L41" s="374"/>
      <c r="M41" s="384">
        <f>D41-G41</f>
        <v>2381608.7000000002</v>
      </c>
      <c r="N41" s="53">
        <f>E41-H41</f>
        <v>2405032.7999999998</v>
      </c>
      <c r="O41" s="69">
        <f t="shared" si="53"/>
        <v>2248867.9</v>
      </c>
    </row>
    <row r="42" spans="1:15" ht="17.25" thickBot="1">
      <c r="A42" s="211"/>
      <c r="B42" s="268">
        <v>32002</v>
      </c>
      <c r="C42" s="318" t="s">
        <v>29</v>
      </c>
      <c r="D42" s="346">
        <f>AMPOP!H43</f>
        <v>192927.1</v>
      </c>
      <c r="E42" s="303">
        <f>AMPOP!I43</f>
        <v>250826.4</v>
      </c>
      <c r="F42" s="347">
        <f>AMPOP!J43</f>
        <v>251386.9</v>
      </c>
      <c r="G42" s="365"/>
      <c r="H42" s="330"/>
      <c r="I42" s="366"/>
      <c r="J42" s="356"/>
      <c r="K42" s="316"/>
      <c r="L42" s="380"/>
      <c r="M42" s="386">
        <f t="shared" si="51"/>
        <v>192927.1</v>
      </c>
      <c r="N42" s="317">
        <f t="shared" si="52"/>
        <v>250826.4</v>
      </c>
      <c r="O42" s="387">
        <f t="shared" si="53"/>
        <v>251386.9</v>
      </c>
    </row>
    <row r="43" spans="1:15" ht="24" customHeight="1" thickBot="1">
      <c r="A43" s="256" t="s">
        <v>254</v>
      </c>
      <c r="B43" s="282"/>
      <c r="C43" s="257" t="s">
        <v>255</v>
      </c>
      <c r="D43" s="348">
        <f>D44+D45</f>
        <v>345322.3</v>
      </c>
      <c r="E43" s="348">
        <f t="shared" ref="E43:O43" si="54">E44+E45</f>
        <v>345322.3</v>
      </c>
      <c r="F43" s="348">
        <f t="shared" si="54"/>
        <v>345322.3</v>
      </c>
      <c r="G43" s="348">
        <f t="shared" si="54"/>
        <v>0</v>
      </c>
      <c r="H43" s="348">
        <f t="shared" si="54"/>
        <v>0</v>
      </c>
      <c r="I43" s="348">
        <f t="shared" si="54"/>
        <v>0</v>
      </c>
      <c r="J43" s="348">
        <f t="shared" si="54"/>
        <v>0</v>
      </c>
      <c r="K43" s="348">
        <f t="shared" si="54"/>
        <v>0</v>
      </c>
      <c r="L43" s="348">
        <f t="shared" si="54"/>
        <v>0</v>
      </c>
      <c r="M43" s="348">
        <f t="shared" si="54"/>
        <v>345322.3</v>
      </c>
      <c r="N43" s="348">
        <f t="shared" si="54"/>
        <v>345322.3</v>
      </c>
      <c r="O43" s="348">
        <f t="shared" si="54"/>
        <v>345322.3</v>
      </c>
    </row>
    <row r="44" spans="1:15" ht="18.75" customHeight="1">
      <c r="A44" s="1744"/>
      <c r="B44" s="231">
        <v>11001</v>
      </c>
      <c r="C44" s="319" t="s">
        <v>255</v>
      </c>
      <c r="D44" s="350">
        <f>AMPOP!H45</f>
        <v>42550.1</v>
      </c>
      <c r="E44" s="308">
        <f>AMPOP!I45</f>
        <v>42550.1</v>
      </c>
      <c r="F44" s="351">
        <f>AMPOP!J45</f>
        <v>42550.1</v>
      </c>
      <c r="G44" s="367"/>
      <c r="H44" s="331"/>
      <c r="I44" s="368"/>
      <c r="J44" s="358"/>
      <c r="K44" s="309"/>
      <c r="L44" s="382"/>
      <c r="M44" s="390">
        <f t="shared" si="45"/>
        <v>42550.1</v>
      </c>
      <c r="N44" s="309">
        <f t="shared" si="46"/>
        <v>42550.1</v>
      </c>
      <c r="O44" s="320">
        <f t="shared" si="47"/>
        <v>42550.1</v>
      </c>
    </row>
    <row r="45" spans="1:15" ht="18.75" customHeight="1" thickBot="1">
      <c r="A45" s="1744"/>
      <c r="B45" s="268">
        <v>11002</v>
      </c>
      <c r="C45" s="205" t="s">
        <v>256</v>
      </c>
      <c r="D45" s="346">
        <f>AMPOP!H46</f>
        <v>302772.2</v>
      </c>
      <c r="E45" s="303">
        <f>AMPOP!I46</f>
        <v>302772.2</v>
      </c>
      <c r="F45" s="347">
        <f>AMPOP!J46</f>
        <v>302772.2</v>
      </c>
      <c r="G45" s="369"/>
      <c r="H45" s="304"/>
      <c r="I45" s="305"/>
      <c r="J45" s="338"/>
      <c r="K45" s="304"/>
      <c r="L45" s="383"/>
      <c r="M45" s="340">
        <f t="shared" ref="M45" si="55">D45+G45+J45</f>
        <v>302772.2</v>
      </c>
      <c r="N45" s="48">
        <f t="shared" ref="N45" si="56">E45+H45+K45</f>
        <v>302772.2</v>
      </c>
      <c r="O45" s="71">
        <f t="shared" ref="O45" si="57">F45+I45+L45</f>
        <v>302772.2</v>
      </c>
    </row>
    <row r="46" spans="1:15" ht="22.5" customHeight="1" thickBot="1">
      <c r="A46" s="256">
        <v>1020</v>
      </c>
      <c r="B46" s="282"/>
      <c r="C46" s="257" t="s">
        <v>273</v>
      </c>
      <c r="D46" s="348">
        <f>D47</f>
        <v>1352300</v>
      </c>
      <c r="E46" s="321">
        <f t="shared" ref="E46:F46" si="58">E47</f>
        <v>1352300</v>
      </c>
      <c r="F46" s="349">
        <f t="shared" si="58"/>
        <v>1352300</v>
      </c>
      <c r="G46" s="348">
        <f t="shared" ref="G46" si="59">G47</f>
        <v>0</v>
      </c>
      <c r="H46" s="321">
        <f t="shared" ref="H46" si="60">H47</f>
        <v>0</v>
      </c>
      <c r="I46" s="349">
        <f t="shared" ref="I46" si="61">I47</f>
        <v>0</v>
      </c>
      <c r="J46" s="357"/>
      <c r="K46" s="322"/>
      <c r="L46" s="381"/>
      <c r="M46" s="388">
        <f t="shared" si="45"/>
        <v>1352300</v>
      </c>
      <c r="N46" s="323">
        <f t="shared" si="46"/>
        <v>1352300</v>
      </c>
      <c r="O46" s="324">
        <f t="shared" si="47"/>
        <v>1352300</v>
      </c>
    </row>
    <row r="47" spans="1:15" ht="18.75" customHeight="1" thickBot="1">
      <c r="A47" s="216"/>
      <c r="B47" s="306">
        <v>11001</v>
      </c>
      <c r="C47" s="307" t="s">
        <v>273</v>
      </c>
      <c r="D47" s="352">
        <f>AMPOP!H48</f>
        <v>1352300</v>
      </c>
      <c r="E47" s="353">
        <f>AMPOP!I48</f>
        <v>1352300</v>
      </c>
      <c r="F47" s="354">
        <f>AMPOP!J48</f>
        <v>1352300</v>
      </c>
      <c r="G47" s="370"/>
      <c r="H47" s="371"/>
      <c r="I47" s="372"/>
      <c r="J47" s="358"/>
      <c r="K47" s="309"/>
      <c r="L47" s="382"/>
      <c r="M47" s="391">
        <f t="shared" si="45"/>
        <v>1352300</v>
      </c>
      <c r="N47" s="392">
        <f t="shared" si="46"/>
        <v>1352300</v>
      </c>
      <c r="O47" s="393">
        <f t="shared" si="47"/>
        <v>1352300</v>
      </c>
    </row>
  </sheetData>
  <mergeCells count="11">
    <mergeCell ref="A11:A12"/>
    <mergeCell ref="A14:A16"/>
    <mergeCell ref="A44:A45"/>
    <mergeCell ref="M6:O7"/>
    <mergeCell ref="J7:L7"/>
    <mergeCell ref="D6:F7"/>
    <mergeCell ref="G6:I7"/>
    <mergeCell ref="J6:L6"/>
    <mergeCell ref="A6:B7"/>
    <mergeCell ref="A9:C9"/>
    <mergeCell ref="C6:C8"/>
  </mergeCells>
  <hyperlinks>
    <hyperlink ref="D6" location="_ftn1" display="_ftn1"/>
    <hyperlink ref="G6" location="_ftn2" display="_ftn2"/>
    <hyperlink ref="M6" location="_ftn3" display="_ftn3"/>
  </hyperlinks>
  <pageMargins left="0.7" right="0.7" top="0.75" bottom="0.75" header="0.3" footer="0.3"/>
  <pageSetup paperSize="9" orientation="portrait" verticalDpi="0" r:id="rId1"/>
  <ignoredErrors>
    <ignoredError sqref="M13:O13 M17:O17 M19:O19 M33:O33 M22:O22" formula="1"/>
    <ignoredError sqref="N46:O47" evalError="1" formula="1"/>
    <ignoredError sqref="M46:M47 M44:O44" evalError="1"/>
    <ignoredError sqref="A13 A33:F33 A43:C43 J33:L33"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E12"/>
  <sheetViews>
    <sheetView workbookViewId="0">
      <selection activeCell="A11" sqref="A11"/>
    </sheetView>
  </sheetViews>
  <sheetFormatPr defaultRowHeight="16.5"/>
  <cols>
    <col min="1" max="1" width="83.42578125" style="55" customWidth="1"/>
    <col min="2" max="2" width="12.5703125" style="51" customWidth="1"/>
    <col min="3" max="5" width="14.7109375" style="51" customWidth="1"/>
    <col min="6" max="16384" width="9.140625" style="51"/>
  </cols>
  <sheetData>
    <row r="2" spans="1:5" ht="20.25" customHeight="1">
      <c r="A2" s="1898" t="s">
        <v>317</v>
      </c>
      <c r="B2" s="1898"/>
      <c r="C2" s="1898"/>
      <c r="D2" s="1898"/>
      <c r="E2" s="1898"/>
    </row>
    <row r="3" spans="1:5" ht="11.25" customHeight="1" thickBot="1"/>
    <row r="4" spans="1:5" ht="17.25" thickBot="1">
      <c r="A4" s="65"/>
      <c r="B4" s="162" t="s">
        <v>1</v>
      </c>
      <c r="C4" s="988" t="s">
        <v>2</v>
      </c>
      <c r="D4" s="988" t="s">
        <v>3</v>
      </c>
      <c r="E4" s="988" t="s">
        <v>207</v>
      </c>
    </row>
    <row r="5" spans="1:5" ht="38.25" customHeight="1" thickBot="1">
      <c r="A5" s="160" t="s">
        <v>212</v>
      </c>
      <c r="B5" s="62" t="s">
        <v>4</v>
      </c>
      <c r="C5" s="989">
        <v>0</v>
      </c>
      <c r="D5" s="989">
        <v>0</v>
      </c>
      <c r="E5" s="989">
        <v>0</v>
      </c>
    </row>
    <row r="6" spans="1:5" ht="38.25" customHeight="1" thickBot="1">
      <c r="A6" s="161" t="s">
        <v>213</v>
      </c>
      <c r="B6" s="61">
        <f>AMPOP!G6</f>
        <v>6984079.5000000009</v>
      </c>
      <c r="C6" s="159" t="s">
        <v>4</v>
      </c>
      <c r="D6" s="159" t="s">
        <v>4</v>
      </c>
      <c r="E6" s="159" t="s">
        <v>4</v>
      </c>
    </row>
    <row r="7" spans="1:5" s="67" customFormat="1" ht="38.25" customHeight="1" thickBot="1">
      <c r="A7" s="992" t="s">
        <v>214</v>
      </c>
      <c r="B7" s="993" t="s">
        <v>4</v>
      </c>
      <c r="C7" s="994">
        <f>C8+C9+C10</f>
        <v>12578556.091268545</v>
      </c>
      <c r="D7" s="994">
        <f t="shared" ref="D7:E7" si="0">D8+D9+D10</f>
        <v>10069117.418019241</v>
      </c>
      <c r="E7" s="994">
        <f t="shared" si="0"/>
        <v>9870212.0742303021</v>
      </c>
    </row>
    <row r="8" spans="1:5" ht="38.25" customHeight="1" thickBot="1">
      <c r="A8" s="161" t="s">
        <v>215</v>
      </c>
      <c r="B8" s="62" t="s">
        <v>4</v>
      </c>
      <c r="C8" s="158">
        <f>'N10-1'!D9</f>
        <v>12578589.991268545</v>
      </c>
      <c r="D8" s="158">
        <f>'N10-1'!E9</f>
        <v>10069151.318019241</v>
      </c>
      <c r="E8" s="158">
        <f>'N10-1'!F9</f>
        <v>9870245.9742303025</v>
      </c>
    </row>
    <row r="9" spans="1:5" ht="32.25" customHeight="1" thickBot="1">
      <c r="A9" s="161" t="s">
        <v>99</v>
      </c>
      <c r="B9" s="62" t="s">
        <v>4</v>
      </c>
      <c r="C9" s="158">
        <f>'N10-1'!G22</f>
        <v>-33.9</v>
      </c>
      <c r="D9" s="158">
        <f>'N10-1'!H22</f>
        <v>-33.9</v>
      </c>
      <c r="E9" s="158">
        <f>'N10-1'!I22</f>
        <v>-33.9</v>
      </c>
    </row>
    <row r="10" spans="1:5" ht="27.75" hidden="1" customHeight="1" thickBot="1">
      <c r="A10" s="161" t="s">
        <v>100</v>
      </c>
      <c r="B10" s="62" t="s">
        <v>4</v>
      </c>
      <c r="C10" s="158">
        <v>0</v>
      </c>
      <c r="D10" s="158">
        <v>0</v>
      </c>
      <c r="E10" s="158">
        <v>0</v>
      </c>
    </row>
    <row r="11" spans="1:5" ht="36.75" customHeight="1" thickBot="1">
      <c r="A11" s="161" t="s">
        <v>216</v>
      </c>
      <c r="B11" s="62" t="s">
        <v>4</v>
      </c>
      <c r="C11" s="158">
        <f>C7-B6</f>
        <v>5594476.5912685441</v>
      </c>
      <c r="D11" s="158">
        <f>D7-B6</f>
        <v>3085037.9180192398</v>
      </c>
      <c r="E11" s="158">
        <f>E7-B6</f>
        <v>2886132.5742303012</v>
      </c>
    </row>
    <row r="12" spans="1:5" ht="31.5" customHeight="1" thickBot="1">
      <c r="A12" s="161" t="s">
        <v>217</v>
      </c>
      <c r="B12" s="62" t="s">
        <v>4</v>
      </c>
      <c r="C12" s="158">
        <f>C7-C5</f>
        <v>12578556.091268545</v>
      </c>
      <c r="D12" s="158">
        <f t="shared" ref="D12:E12" si="1">D7-D5</f>
        <v>10069117.418019241</v>
      </c>
      <c r="E12" s="158">
        <f t="shared" si="1"/>
        <v>9870212.0742303021</v>
      </c>
    </row>
  </sheetData>
  <mergeCells count="1">
    <mergeCell ref="A2:E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F53"/>
  <sheetViews>
    <sheetView workbookViewId="0">
      <selection activeCell="E7" sqref="E7:E8"/>
    </sheetView>
  </sheetViews>
  <sheetFormatPr defaultRowHeight="15"/>
  <cols>
    <col min="2" max="2" width="8.42578125" style="406" customWidth="1"/>
    <col min="3" max="3" width="37.42578125" customWidth="1"/>
    <col min="4" max="4" width="12.42578125" style="407" customWidth="1"/>
    <col min="5" max="5" width="11.85546875" style="407" customWidth="1"/>
    <col min="6" max="6" width="10.85546875" style="407" customWidth="1"/>
    <col min="7" max="7" width="11.85546875" style="407" customWidth="1"/>
    <col min="8" max="8" width="11.5703125" style="407" customWidth="1"/>
    <col min="9" max="9" width="9.7109375" style="407" customWidth="1"/>
    <col min="10" max="12" width="10.42578125" style="407" customWidth="1"/>
    <col min="13" max="13" width="11.42578125" style="407" customWidth="1"/>
    <col min="14" max="14" width="11" style="407" customWidth="1"/>
    <col min="15" max="15" width="10.28515625" style="407" customWidth="1"/>
    <col min="16" max="16" width="12" style="407" customWidth="1"/>
    <col min="17" max="17" width="11.5703125" style="407" customWidth="1"/>
    <col min="18" max="18" width="10.28515625" style="407" customWidth="1"/>
    <col min="19" max="19" width="12.28515625" customWidth="1"/>
    <col min="20" max="21" width="11.42578125" customWidth="1"/>
    <col min="22" max="22" width="12" customWidth="1"/>
    <col min="23" max="23" width="11.28515625" customWidth="1"/>
    <col min="24" max="24" width="10.28515625" customWidth="1"/>
    <col min="25" max="25" width="6.140625" customWidth="1"/>
    <col min="26" max="30" width="6" customWidth="1"/>
    <col min="31" max="31" width="9.5703125" customWidth="1"/>
    <col min="32" max="32" width="11.5703125" customWidth="1"/>
  </cols>
  <sheetData>
    <row r="1" spans="1:32" ht="17.25">
      <c r="A1" s="405" t="s">
        <v>101</v>
      </c>
    </row>
    <row r="2" spans="1:32" ht="17.25">
      <c r="A2" s="408"/>
    </row>
    <row r="3" spans="1:32">
      <c r="A3" s="409" t="s">
        <v>102</v>
      </c>
    </row>
    <row r="4" spans="1:32" ht="15.75" thickBot="1">
      <c r="A4" s="410"/>
    </row>
    <row r="5" spans="1:32" ht="25.5" customHeight="1">
      <c r="A5" s="1911" t="s">
        <v>6</v>
      </c>
      <c r="B5" s="1912"/>
      <c r="C5" s="1917" t="s">
        <v>7</v>
      </c>
      <c r="D5" s="1911" t="s">
        <v>103</v>
      </c>
      <c r="E5" s="1920"/>
      <c r="F5" s="1921"/>
      <c r="G5" s="1911" t="s">
        <v>287</v>
      </c>
      <c r="H5" s="1920"/>
      <c r="I5" s="1921"/>
      <c r="J5" s="1911" t="s">
        <v>288</v>
      </c>
      <c r="K5" s="1920"/>
      <c r="L5" s="1921"/>
      <c r="M5" s="1911" t="s">
        <v>289</v>
      </c>
      <c r="N5" s="1920"/>
      <c r="O5" s="1921"/>
      <c r="P5" s="1911" t="s">
        <v>105</v>
      </c>
      <c r="Q5" s="1920"/>
      <c r="R5" s="1921"/>
      <c r="S5" s="1911" t="s">
        <v>290</v>
      </c>
      <c r="T5" s="1920"/>
      <c r="U5" s="1921"/>
      <c r="V5" s="1911" t="s">
        <v>44</v>
      </c>
      <c r="W5" s="1920"/>
      <c r="X5" s="1920"/>
      <c r="Y5" s="1920"/>
      <c r="Z5" s="1920"/>
      <c r="AA5" s="1920"/>
      <c r="AB5" s="1920"/>
      <c r="AC5" s="1920"/>
      <c r="AD5" s="1921"/>
      <c r="AE5" s="1926" t="s">
        <v>106</v>
      </c>
      <c r="AF5" s="1927" t="s">
        <v>107</v>
      </c>
    </row>
    <row r="6" spans="1:32" ht="12" customHeight="1">
      <c r="A6" s="1913"/>
      <c r="B6" s="1914"/>
      <c r="C6" s="1918"/>
      <c r="D6" s="1913"/>
      <c r="E6" s="1922"/>
      <c r="F6" s="1923"/>
      <c r="G6" s="1913"/>
      <c r="H6" s="1922"/>
      <c r="I6" s="1923"/>
      <c r="J6" s="1913"/>
      <c r="K6" s="1922"/>
      <c r="L6" s="1923"/>
      <c r="M6" s="1913"/>
      <c r="N6" s="1922"/>
      <c r="O6" s="1923"/>
      <c r="P6" s="1913"/>
      <c r="Q6" s="1922"/>
      <c r="R6" s="1923"/>
      <c r="S6" s="1913"/>
      <c r="T6" s="1922"/>
      <c r="U6" s="1923"/>
      <c r="V6" s="1929" t="s">
        <v>96</v>
      </c>
      <c r="W6" s="1930"/>
      <c r="X6" s="1931"/>
      <c r="Y6" s="1914" t="s">
        <v>97</v>
      </c>
      <c r="Z6" s="1930"/>
      <c r="AA6" s="1931"/>
      <c r="AB6" s="1914" t="s">
        <v>286</v>
      </c>
      <c r="AC6" s="1930"/>
      <c r="AD6" s="1932"/>
      <c r="AE6" s="1909"/>
      <c r="AF6" s="1928"/>
    </row>
    <row r="7" spans="1:32" ht="24.75" customHeight="1">
      <c r="A7" s="1913"/>
      <c r="B7" s="1914"/>
      <c r="C7" s="1918"/>
      <c r="D7" s="1909" t="s">
        <v>20</v>
      </c>
      <c r="E7" s="1924" t="s">
        <v>108</v>
      </c>
      <c r="F7" s="1905" t="s">
        <v>109</v>
      </c>
      <c r="G7" s="1909" t="s">
        <v>20</v>
      </c>
      <c r="H7" s="1924" t="s">
        <v>108</v>
      </c>
      <c r="I7" s="1905" t="s">
        <v>109</v>
      </c>
      <c r="J7" s="1909" t="s">
        <v>20</v>
      </c>
      <c r="K7" s="1924" t="s">
        <v>108</v>
      </c>
      <c r="L7" s="1905" t="s">
        <v>109</v>
      </c>
      <c r="M7" s="1909" t="s">
        <v>20</v>
      </c>
      <c r="N7" s="1924" t="s">
        <v>108</v>
      </c>
      <c r="O7" s="1905" t="s">
        <v>109</v>
      </c>
      <c r="P7" s="1909" t="s">
        <v>20</v>
      </c>
      <c r="Q7" s="1924" t="s">
        <v>108</v>
      </c>
      <c r="R7" s="1905" t="s">
        <v>109</v>
      </c>
      <c r="S7" s="1909" t="s">
        <v>20</v>
      </c>
      <c r="T7" s="1924" t="s">
        <v>108</v>
      </c>
      <c r="U7" s="1905" t="s">
        <v>109</v>
      </c>
      <c r="V7" s="1909" t="s">
        <v>20</v>
      </c>
      <c r="W7" s="1924" t="s">
        <v>108</v>
      </c>
      <c r="X7" s="1924" t="s">
        <v>109</v>
      </c>
      <c r="Y7" s="1924" t="s">
        <v>20</v>
      </c>
      <c r="Z7" s="1924" t="s">
        <v>108</v>
      </c>
      <c r="AA7" s="1924" t="s">
        <v>109</v>
      </c>
      <c r="AB7" s="1924" t="s">
        <v>20</v>
      </c>
      <c r="AC7" s="1924" t="s">
        <v>108</v>
      </c>
      <c r="AD7" s="1905" t="s">
        <v>109</v>
      </c>
      <c r="AE7" s="1909"/>
      <c r="AF7" s="1928"/>
    </row>
    <row r="8" spans="1:32" ht="66.75" customHeight="1" thickBot="1">
      <c r="A8" s="1915"/>
      <c r="B8" s="1916"/>
      <c r="C8" s="1919"/>
      <c r="D8" s="1910"/>
      <c r="E8" s="1925"/>
      <c r="F8" s="1906"/>
      <c r="G8" s="1910"/>
      <c r="H8" s="1925"/>
      <c r="I8" s="1906"/>
      <c r="J8" s="1910"/>
      <c r="K8" s="1925"/>
      <c r="L8" s="1906"/>
      <c r="M8" s="1910"/>
      <c r="N8" s="1925"/>
      <c r="O8" s="1906"/>
      <c r="P8" s="1910"/>
      <c r="Q8" s="1925"/>
      <c r="R8" s="1906"/>
      <c r="S8" s="1910"/>
      <c r="T8" s="1925"/>
      <c r="U8" s="1906"/>
      <c r="V8" s="1909"/>
      <c r="W8" s="1924"/>
      <c r="X8" s="1924"/>
      <c r="Y8" s="1924"/>
      <c r="Z8" s="1924"/>
      <c r="AA8" s="1924"/>
      <c r="AB8" s="1924"/>
      <c r="AC8" s="1924"/>
      <c r="AD8" s="1905"/>
      <c r="AE8" s="1909"/>
      <c r="AF8" s="1928"/>
    </row>
    <row r="9" spans="1:32" s="415" customFormat="1" ht="24" customHeight="1" thickBot="1">
      <c r="A9" s="1907" t="s">
        <v>112</v>
      </c>
      <c r="B9" s="1907"/>
      <c r="C9" s="1908"/>
      <c r="D9" s="631">
        <f t="shared" ref="D9:U9" si="0">D10+D14+D17</f>
        <v>5225500</v>
      </c>
      <c r="E9" s="632">
        <f t="shared" si="0"/>
        <v>4372500</v>
      </c>
      <c r="F9" s="633">
        <f t="shared" si="0"/>
        <v>853000</v>
      </c>
      <c r="G9" s="631">
        <f t="shared" si="0"/>
        <v>1580880.1099999999</v>
      </c>
      <c r="H9" s="632">
        <f t="shared" si="0"/>
        <v>1503152.51</v>
      </c>
      <c r="I9" s="633">
        <f t="shared" si="0"/>
        <v>77727.600000000006</v>
      </c>
      <c r="J9" s="631">
        <f t="shared" si="0"/>
        <v>300830.71000000002</v>
      </c>
      <c r="K9" s="632">
        <f t="shared" si="0"/>
        <v>275561.91000000003</v>
      </c>
      <c r="L9" s="633">
        <f t="shared" si="0"/>
        <v>25268.799999999999</v>
      </c>
      <c r="M9" s="631">
        <f t="shared" si="0"/>
        <v>1586372</v>
      </c>
      <c r="N9" s="632">
        <f t="shared" si="0"/>
        <v>1321976.7</v>
      </c>
      <c r="O9" s="633">
        <f t="shared" si="0"/>
        <v>264395.3</v>
      </c>
      <c r="P9" s="631">
        <f t="shared" si="0"/>
        <v>2058247.8900000001</v>
      </c>
      <c r="Q9" s="632">
        <f t="shared" si="0"/>
        <v>1547370.79</v>
      </c>
      <c r="R9" s="633">
        <f t="shared" si="0"/>
        <v>510877.1</v>
      </c>
      <c r="S9" s="631">
        <f t="shared" si="0"/>
        <v>2058247.84</v>
      </c>
      <c r="T9" s="632">
        <f t="shared" si="0"/>
        <v>1547370.74</v>
      </c>
      <c r="U9" s="634">
        <f t="shared" si="0"/>
        <v>510877.1</v>
      </c>
      <c r="V9" s="635">
        <v>2058247.84</v>
      </c>
      <c r="W9" s="636">
        <v>1547370.74</v>
      </c>
      <c r="X9" s="636">
        <v>510877.1</v>
      </c>
      <c r="Y9" s="412"/>
      <c r="Z9" s="412"/>
      <c r="AA9" s="412"/>
      <c r="AB9" s="412"/>
      <c r="AC9" s="412"/>
      <c r="AD9" s="413"/>
      <c r="AE9" s="414"/>
      <c r="AF9" s="413"/>
    </row>
    <row r="10" spans="1:32" ht="76.5">
      <c r="A10" s="1899">
        <v>1155</v>
      </c>
      <c r="B10" s="1902">
        <v>11001</v>
      </c>
      <c r="C10" s="416" t="s">
        <v>277</v>
      </c>
      <c r="D10" s="417">
        <f>+E10+F10</f>
        <v>2232360</v>
      </c>
      <c r="E10" s="418">
        <f>+E11+E12</f>
        <v>1860300</v>
      </c>
      <c r="F10" s="419">
        <f>+F11+F12</f>
        <v>372060</v>
      </c>
      <c r="G10" s="417">
        <f>+H10+I10</f>
        <v>1262376.76</v>
      </c>
      <c r="H10" s="418">
        <f>+H11+H12</f>
        <v>1212196.29</v>
      </c>
      <c r="I10" s="419">
        <f>+I11+I12</f>
        <v>50180.47</v>
      </c>
      <c r="J10" s="417">
        <f>+K10+L10</f>
        <v>175282.26</v>
      </c>
      <c r="K10" s="418">
        <f>+K11+K12</f>
        <v>157498.89000000001</v>
      </c>
      <c r="L10" s="419">
        <f>+L11+L12</f>
        <v>17783.37</v>
      </c>
      <c r="M10" s="417">
        <f>+N10+O10</f>
        <v>423154.3</v>
      </c>
      <c r="N10" s="418">
        <f>+N11+N12</f>
        <v>352628.6</v>
      </c>
      <c r="O10" s="419">
        <f>+O11+O12</f>
        <v>70525.7</v>
      </c>
      <c r="P10" s="417">
        <f>+Q10+R10</f>
        <v>546828.93999999994</v>
      </c>
      <c r="Q10" s="418">
        <f>+Q11+Q12</f>
        <v>295475.11</v>
      </c>
      <c r="R10" s="419">
        <f>+R11+R12</f>
        <v>251353.83000000002</v>
      </c>
      <c r="S10" s="417">
        <f>+T10+U10</f>
        <v>546828.93999999994</v>
      </c>
      <c r="T10" s="418">
        <f>+T11+T12</f>
        <v>295475.11</v>
      </c>
      <c r="U10" s="419">
        <f>+U11+U12</f>
        <v>251353.83000000002</v>
      </c>
      <c r="V10" s="420">
        <v>546828.93999999994</v>
      </c>
      <c r="W10" s="421">
        <v>295475.11</v>
      </c>
      <c r="X10" s="421">
        <v>251353.83000000002</v>
      </c>
      <c r="Y10" s="422"/>
      <c r="Z10" s="422"/>
      <c r="AA10" s="422"/>
      <c r="AB10" s="422"/>
      <c r="AC10" s="422"/>
      <c r="AD10" s="423"/>
      <c r="AE10" s="424"/>
      <c r="AF10" s="423"/>
    </row>
    <row r="11" spans="1:32" ht="12" customHeight="1">
      <c r="A11" s="1900"/>
      <c r="B11" s="1903"/>
      <c r="C11" s="425"/>
      <c r="D11" s="426"/>
      <c r="E11" s="427"/>
      <c r="F11" s="428"/>
      <c r="G11" s="426"/>
      <c r="H11" s="427"/>
      <c r="I11" s="428"/>
      <c r="J11" s="429"/>
      <c r="K11" s="430"/>
      <c r="L11" s="428"/>
      <c r="M11" s="429"/>
      <c r="N11" s="430"/>
      <c r="O11" s="428"/>
      <c r="P11" s="429"/>
      <c r="Q11" s="430"/>
      <c r="R11" s="431"/>
      <c r="S11" s="429"/>
      <c r="T11" s="430"/>
      <c r="U11" s="431"/>
      <c r="V11" s="432"/>
      <c r="W11" s="433"/>
      <c r="X11" s="433"/>
      <c r="Y11" s="213"/>
      <c r="Z11" s="213"/>
      <c r="AA11" s="213"/>
      <c r="AB11" s="213"/>
      <c r="AC11" s="213"/>
      <c r="AD11" s="151"/>
      <c r="AE11" s="150"/>
      <c r="AF11" s="151"/>
    </row>
    <row r="12" spans="1:32" ht="15.75" thickBot="1">
      <c r="A12" s="1900"/>
      <c r="B12" s="1904"/>
      <c r="C12" s="434" t="s">
        <v>291</v>
      </c>
      <c r="D12" s="435">
        <f>+E12+F12</f>
        <v>2232360</v>
      </c>
      <c r="E12" s="436">
        <f>(420+2790+300)*530</f>
        <v>1860300</v>
      </c>
      <c r="F12" s="437">
        <f>+E12*0.2</f>
        <v>372060</v>
      </c>
      <c r="G12" s="435">
        <f>+H12+I12</f>
        <v>1262376.76</v>
      </c>
      <c r="H12" s="436">
        <f>+'[2]2021-2023'!H13+'[2]2021-2023'!K13</f>
        <v>1212196.29</v>
      </c>
      <c r="I12" s="436">
        <f>+'[2]2021-2023'!I13+'[2]2021-2023'!L13</f>
        <v>50180.47</v>
      </c>
      <c r="J12" s="438">
        <f>+K12+L12</f>
        <v>175282.26</v>
      </c>
      <c r="K12" s="439">
        <f>+'[2]2021-2023'!K13</f>
        <v>157498.89000000001</v>
      </c>
      <c r="L12" s="439">
        <f>+'[2]2021-2023'!L13</f>
        <v>17783.37</v>
      </c>
      <c r="M12" s="438">
        <f>+N12+O12</f>
        <v>423154.3</v>
      </c>
      <c r="N12" s="439">
        <v>352628.6</v>
      </c>
      <c r="O12" s="437">
        <v>70525.7</v>
      </c>
      <c r="P12" s="438">
        <f>+Q12+R12</f>
        <v>546828.93999999994</v>
      </c>
      <c r="Q12" s="439">
        <f>+E12-H12-N12</f>
        <v>295475.11</v>
      </c>
      <c r="R12" s="440">
        <f>+F12-I12-O12</f>
        <v>251353.83000000002</v>
      </c>
      <c r="S12" s="438">
        <f>+T12+U12</f>
        <v>546828.93999999994</v>
      </c>
      <c r="T12" s="439">
        <v>295475.11</v>
      </c>
      <c r="U12" s="440">
        <v>251353.83000000002</v>
      </c>
      <c r="V12" s="441">
        <v>546828.93999999994</v>
      </c>
      <c r="W12" s="442">
        <v>295475.11</v>
      </c>
      <c r="X12" s="442">
        <v>251353.83000000002</v>
      </c>
      <c r="Y12" s="153"/>
      <c r="Z12" s="153"/>
      <c r="AA12" s="153"/>
      <c r="AB12" s="153"/>
      <c r="AC12" s="153"/>
      <c r="AD12" s="154"/>
      <c r="AE12" s="152"/>
      <c r="AF12" s="154"/>
    </row>
    <row r="13" spans="1:32" ht="15.75" thickBot="1">
      <c r="A13" s="1900"/>
      <c r="B13" s="443"/>
      <c r="C13" s="444"/>
      <c r="D13" s="445"/>
      <c r="E13" s="446"/>
      <c r="F13" s="447"/>
      <c r="G13" s="445"/>
      <c r="H13" s="446"/>
      <c r="I13" s="447"/>
      <c r="J13" s="445"/>
      <c r="K13" s="446"/>
      <c r="L13" s="447"/>
      <c r="M13" s="445"/>
      <c r="N13" s="446"/>
      <c r="O13" s="447"/>
      <c r="P13" s="445"/>
      <c r="Q13" s="446"/>
      <c r="R13" s="447"/>
      <c r="S13" s="445"/>
      <c r="T13" s="446"/>
      <c r="U13" s="447"/>
      <c r="V13" s="448"/>
      <c r="W13" s="449"/>
      <c r="X13" s="449"/>
      <c r="Y13" s="450"/>
      <c r="Z13" s="450"/>
      <c r="AA13" s="450"/>
      <c r="AB13" s="450"/>
      <c r="AC13" s="450"/>
      <c r="AD13" s="451"/>
      <c r="AE13" s="452"/>
      <c r="AF13" s="451"/>
    </row>
    <row r="14" spans="1:32" s="406" customFormat="1" ht="108" customHeight="1" thickBot="1">
      <c r="A14" s="1900"/>
      <c r="B14" s="1902">
        <v>12002</v>
      </c>
      <c r="C14" s="453" t="s">
        <v>276</v>
      </c>
      <c r="D14" s="454">
        <f t="shared" ref="D14:U14" si="1">+D15</f>
        <v>1081200</v>
      </c>
      <c r="E14" s="455">
        <f t="shared" si="1"/>
        <v>901000</v>
      </c>
      <c r="F14" s="456">
        <f t="shared" si="1"/>
        <v>180200</v>
      </c>
      <c r="G14" s="454">
        <f t="shared" si="1"/>
        <v>70887.22</v>
      </c>
      <c r="H14" s="455">
        <f t="shared" si="1"/>
        <v>63743.38</v>
      </c>
      <c r="I14" s="456">
        <f t="shared" si="1"/>
        <v>7143.84</v>
      </c>
      <c r="J14" s="454">
        <f t="shared" si="1"/>
        <v>70887.22</v>
      </c>
      <c r="K14" s="455">
        <f t="shared" si="1"/>
        <v>63743.38</v>
      </c>
      <c r="L14" s="456">
        <f t="shared" si="1"/>
        <v>7143.84</v>
      </c>
      <c r="M14" s="454">
        <f t="shared" si="1"/>
        <v>493680</v>
      </c>
      <c r="N14" s="455">
        <f t="shared" si="1"/>
        <v>411400</v>
      </c>
      <c r="O14" s="456">
        <f t="shared" si="1"/>
        <v>82280</v>
      </c>
      <c r="P14" s="457">
        <f t="shared" si="1"/>
        <v>516632.78</v>
      </c>
      <c r="Q14" s="458">
        <f t="shared" si="1"/>
        <v>425856.62</v>
      </c>
      <c r="R14" s="459">
        <f t="shared" si="1"/>
        <v>90776.16</v>
      </c>
      <c r="S14" s="454">
        <f t="shared" si="1"/>
        <v>516632.78</v>
      </c>
      <c r="T14" s="455">
        <f t="shared" si="1"/>
        <v>425856.62</v>
      </c>
      <c r="U14" s="456">
        <f t="shared" si="1"/>
        <v>90776.16</v>
      </c>
      <c r="V14" s="460">
        <v>516632.78</v>
      </c>
      <c r="W14" s="461">
        <v>425856.62</v>
      </c>
      <c r="X14" s="461">
        <v>90776.16</v>
      </c>
      <c r="Y14" s="462"/>
      <c r="Z14" s="462"/>
      <c r="AA14" s="462"/>
      <c r="AB14" s="462"/>
      <c r="AC14" s="462"/>
      <c r="AD14" s="463"/>
      <c r="AE14" s="464"/>
      <c r="AF14" s="463"/>
    </row>
    <row r="15" spans="1:32" ht="15.75" thickBot="1">
      <c r="A15" s="1900"/>
      <c r="B15" s="1904"/>
      <c r="C15" s="465" t="s">
        <v>292</v>
      </c>
      <c r="D15" s="466">
        <f>+E15+F15</f>
        <v>1081200</v>
      </c>
      <c r="E15" s="467">
        <f>1700*530</f>
        <v>901000</v>
      </c>
      <c r="F15" s="468">
        <f>+E15*0.2</f>
        <v>180200</v>
      </c>
      <c r="G15" s="466">
        <f>+H15+I15</f>
        <v>70887.22</v>
      </c>
      <c r="H15" s="467">
        <f>+'[2]2021-2023'!K16</f>
        <v>63743.38</v>
      </c>
      <c r="I15" s="467">
        <f>+'[2]2021-2023'!L16</f>
        <v>7143.84</v>
      </c>
      <c r="J15" s="469">
        <f>+K15+L15</f>
        <v>70887.22</v>
      </c>
      <c r="K15" s="470">
        <v>63743.38</v>
      </c>
      <c r="L15" s="468">
        <v>7143.84</v>
      </c>
      <c r="M15" s="469">
        <f>+N15+O15</f>
        <v>493680</v>
      </c>
      <c r="N15" s="470">
        <v>411400</v>
      </c>
      <c r="O15" s="468">
        <v>82280</v>
      </c>
      <c r="P15" s="471">
        <f>+Q15+R15</f>
        <v>516632.78</v>
      </c>
      <c r="Q15" s="472">
        <f>+E15-H15-N15</f>
        <v>425856.62</v>
      </c>
      <c r="R15" s="473">
        <f>+F15-I15-O15</f>
        <v>90776.16</v>
      </c>
      <c r="S15" s="474">
        <f>+T15+U15</f>
        <v>516632.78</v>
      </c>
      <c r="T15" s="470">
        <v>425856.62</v>
      </c>
      <c r="U15" s="475">
        <v>90776.16</v>
      </c>
      <c r="V15" s="476">
        <v>516632.78</v>
      </c>
      <c r="W15" s="477">
        <v>425856.62</v>
      </c>
      <c r="X15" s="477">
        <v>90776.16</v>
      </c>
      <c r="Y15" s="478"/>
      <c r="Z15" s="478"/>
      <c r="AA15" s="478"/>
      <c r="AB15" s="478"/>
      <c r="AC15" s="478"/>
      <c r="AD15" s="479"/>
      <c r="AE15" s="480"/>
      <c r="AF15" s="479"/>
    </row>
    <row r="16" spans="1:32" ht="15.75" thickBot="1">
      <c r="A16" s="1900"/>
      <c r="B16" s="443"/>
      <c r="C16" s="444"/>
      <c r="D16" s="445"/>
      <c r="E16" s="446"/>
      <c r="F16" s="447"/>
      <c r="G16" s="445"/>
      <c r="H16" s="446"/>
      <c r="I16" s="447"/>
      <c r="J16" s="445"/>
      <c r="K16" s="446"/>
      <c r="L16" s="447"/>
      <c r="M16" s="445"/>
      <c r="N16" s="446"/>
      <c r="O16" s="447"/>
      <c r="P16" s="445"/>
      <c r="Q16" s="446"/>
      <c r="R16" s="447"/>
      <c r="S16" s="445"/>
      <c r="T16" s="446"/>
      <c r="U16" s="447"/>
      <c r="V16" s="448"/>
      <c r="W16" s="449"/>
      <c r="X16" s="449"/>
      <c r="Y16" s="450"/>
      <c r="Z16" s="450"/>
      <c r="AA16" s="450"/>
      <c r="AB16" s="450"/>
      <c r="AC16" s="450"/>
      <c r="AD16" s="451"/>
      <c r="AE16" s="452"/>
      <c r="AF16" s="451"/>
    </row>
    <row r="17" spans="1:32" s="406" customFormat="1" ht="77.25" thickBot="1">
      <c r="A17" s="1900"/>
      <c r="B17" s="1902">
        <v>32001</v>
      </c>
      <c r="C17" s="453" t="s">
        <v>275</v>
      </c>
      <c r="D17" s="457">
        <f t="shared" ref="D17:U17" si="2">SUM(D18:D25)</f>
        <v>1911940</v>
      </c>
      <c r="E17" s="458">
        <f t="shared" si="2"/>
        <v>1611200</v>
      </c>
      <c r="F17" s="481">
        <f t="shared" si="2"/>
        <v>300740</v>
      </c>
      <c r="G17" s="457">
        <f t="shared" si="2"/>
        <v>247616.13</v>
      </c>
      <c r="H17" s="458">
        <f t="shared" si="2"/>
        <v>227212.84</v>
      </c>
      <c r="I17" s="481">
        <f t="shared" si="2"/>
        <v>20403.29</v>
      </c>
      <c r="J17" s="457">
        <f t="shared" si="2"/>
        <v>54661.229999999996</v>
      </c>
      <c r="K17" s="458">
        <f t="shared" si="2"/>
        <v>54319.64</v>
      </c>
      <c r="L17" s="481">
        <f t="shared" si="2"/>
        <v>341.59</v>
      </c>
      <c r="M17" s="457">
        <f t="shared" si="2"/>
        <v>669537.70000000007</v>
      </c>
      <c r="N17" s="458">
        <f t="shared" si="2"/>
        <v>557948.1</v>
      </c>
      <c r="O17" s="481">
        <f t="shared" si="2"/>
        <v>111589.59999999999</v>
      </c>
      <c r="P17" s="457">
        <f t="shared" si="2"/>
        <v>994786.17</v>
      </c>
      <c r="Q17" s="458">
        <f t="shared" si="2"/>
        <v>826039.06</v>
      </c>
      <c r="R17" s="481">
        <f t="shared" si="2"/>
        <v>168747.11000000002</v>
      </c>
      <c r="S17" s="457">
        <f t="shared" si="2"/>
        <v>994786.12000000011</v>
      </c>
      <c r="T17" s="458">
        <f t="shared" si="2"/>
        <v>826039.01</v>
      </c>
      <c r="U17" s="481">
        <f t="shared" si="2"/>
        <v>168747.11000000002</v>
      </c>
      <c r="V17" s="482">
        <v>994786.12000000011</v>
      </c>
      <c r="W17" s="461">
        <v>826039.01</v>
      </c>
      <c r="X17" s="461">
        <v>168747.11000000002</v>
      </c>
      <c r="Y17" s="462"/>
      <c r="Z17" s="462"/>
      <c r="AA17" s="462"/>
      <c r="AB17" s="462"/>
      <c r="AC17" s="462"/>
      <c r="AD17" s="463"/>
      <c r="AE17" s="464"/>
      <c r="AF17" s="463"/>
    </row>
    <row r="18" spans="1:32" s="494" customFormat="1" ht="12.75">
      <c r="A18" s="1900"/>
      <c r="B18" s="1903"/>
      <c r="C18" s="483" t="s">
        <v>293</v>
      </c>
      <c r="D18" s="484">
        <f t="shared" ref="D18:D25" si="3">+E18+F18</f>
        <v>137500</v>
      </c>
      <c r="E18" s="485">
        <f>250*530</f>
        <v>132500</v>
      </c>
      <c r="F18" s="637">
        <v>5000</v>
      </c>
      <c r="G18" s="484">
        <f t="shared" ref="G18:G25" si="4">+H18+I18</f>
        <v>120700</v>
      </c>
      <c r="H18" s="485">
        <f>+'[2]2021-2023'!H19+'[2]2021-2023'!K19</f>
        <v>120700</v>
      </c>
      <c r="I18" s="486">
        <f>+'[2]2021-2023'!I19+'[2]2021-2023'!L19</f>
        <v>0</v>
      </c>
      <c r="J18" s="640">
        <f t="shared" ref="J18:J23" si="5">+K18+L18</f>
        <v>0</v>
      </c>
      <c r="K18" s="485"/>
      <c r="L18" s="486"/>
      <c r="M18" s="484">
        <f t="shared" ref="M18:M25" si="6">+N18+O18</f>
        <v>0</v>
      </c>
      <c r="N18" s="485"/>
      <c r="O18" s="486"/>
      <c r="P18" s="484">
        <f t="shared" ref="P18:P25" si="7">+Q18+R18</f>
        <v>16800</v>
      </c>
      <c r="Q18" s="487">
        <f t="shared" ref="Q18:R25" si="8">+E18-H18-N18</f>
        <v>11800</v>
      </c>
      <c r="R18" s="488">
        <f t="shared" si="8"/>
        <v>5000</v>
      </c>
      <c r="S18" s="484">
        <f t="shared" ref="S18:S25" si="9">+T18+U18</f>
        <v>16800</v>
      </c>
      <c r="T18" s="487">
        <v>11800</v>
      </c>
      <c r="U18" s="488">
        <v>5000</v>
      </c>
      <c r="V18" s="489">
        <v>16800</v>
      </c>
      <c r="W18" s="490">
        <v>11800</v>
      </c>
      <c r="X18" s="490">
        <v>5000</v>
      </c>
      <c r="Y18" s="491"/>
      <c r="Z18" s="491"/>
      <c r="AA18" s="491"/>
      <c r="AB18" s="491"/>
      <c r="AC18" s="491"/>
      <c r="AD18" s="492"/>
      <c r="AE18" s="493"/>
      <c r="AF18" s="492"/>
    </row>
    <row r="19" spans="1:32" s="494" customFormat="1" ht="12.75">
      <c r="A19" s="1900"/>
      <c r="B19" s="1903"/>
      <c r="C19" s="495" t="s">
        <v>294</v>
      </c>
      <c r="D19" s="496">
        <f t="shared" si="3"/>
        <v>445200</v>
      </c>
      <c r="E19" s="497">
        <f>700*530</f>
        <v>371000</v>
      </c>
      <c r="F19" s="638">
        <f t="shared" ref="F19:F25" si="10">+E19*0.2</f>
        <v>74200</v>
      </c>
      <c r="G19" s="496">
        <f t="shared" si="4"/>
        <v>0</v>
      </c>
      <c r="H19" s="497">
        <f>+'[2]2021-2023'!H20+'[2]2021-2023'!K20</f>
        <v>0</v>
      </c>
      <c r="I19" s="498">
        <f>+'[2]2021-2023'!I20+'[2]2021-2023'!L20</f>
        <v>0</v>
      </c>
      <c r="J19" s="641">
        <f t="shared" si="5"/>
        <v>0</v>
      </c>
      <c r="K19" s="497"/>
      <c r="L19" s="498"/>
      <c r="M19" s="496">
        <f t="shared" si="6"/>
        <v>175500.80000000002</v>
      </c>
      <c r="N19" s="497">
        <v>146250.70000000001</v>
      </c>
      <c r="O19" s="498">
        <v>29250.1</v>
      </c>
      <c r="P19" s="496">
        <f t="shared" si="7"/>
        <v>269699.20000000001</v>
      </c>
      <c r="Q19" s="499">
        <f t="shared" si="8"/>
        <v>224749.3</v>
      </c>
      <c r="R19" s="500">
        <f t="shared" si="8"/>
        <v>44949.9</v>
      </c>
      <c r="S19" s="496">
        <f t="shared" si="9"/>
        <v>269699.20000000001</v>
      </c>
      <c r="T19" s="499">
        <v>224749.3</v>
      </c>
      <c r="U19" s="500">
        <v>44949.9</v>
      </c>
      <c r="V19" s="501">
        <v>269699.20000000001</v>
      </c>
      <c r="W19" s="502">
        <v>224749.3</v>
      </c>
      <c r="X19" s="502">
        <v>44949.9</v>
      </c>
      <c r="Y19" s="214"/>
      <c r="Z19" s="214"/>
      <c r="AA19" s="214"/>
      <c r="AB19" s="214"/>
      <c r="AC19" s="214"/>
      <c r="AD19" s="503"/>
      <c r="AE19" s="504"/>
      <c r="AF19" s="503"/>
    </row>
    <row r="20" spans="1:32" s="494" customFormat="1" ht="25.5">
      <c r="A20" s="1900"/>
      <c r="B20" s="1903"/>
      <c r="C20" s="495" t="s">
        <v>295</v>
      </c>
      <c r="D20" s="496">
        <f t="shared" si="3"/>
        <v>159000</v>
      </c>
      <c r="E20" s="497">
        <f>250*530</f>
        <v>132500</v>
      </c>
      <c r="F20" s="638">
        <f t="shared" si="10"/>
        <v>26500</v>
      </c>
      <c r="G20" s="496">
        <f t="shared" si="4"/>
        <v>0</v>
      </c>
      <c r="H20" s="497">
        <f>+'[2]2021-2023'!H21+'[2]2021-2023'!K21</f>
        <v>0</v>
      </c>
      <c r="I20" s="498">
        <f>+'[2]2021-2023'!I21+'[2]2021-2023'!L21</f>
        <v>0</v>
      </c>
      <c r="J20" s="641">
        <f t="shared" si="5"/>
        <v>0</v>
      </c>
      <c r="K20" s="497"/>
      <c r="L20" s="498"/>
      <c r="M20" s="496">
        <f t="shared" si="6"/>
        <v>96362.8</v>
      </c>
      <c r="N20" s="497">
        <v>80302.3</v>
      </c>
      <c r="O20" s="498">
        <v>16060.5</v>
      </c>
      <c r="P20" s="496">
        <f t="shared" si="7"/>
        <v>62637.2</v>
      </c>
      <c r="Q20" s="499">
        <f t="shared" si="8"/>
        <v>52197.7</v>
      </c>
      <c r="R20" s="500">
        <f t="shared" si="8"/>
        <v>10439.5</v>
      </c>
      <c r="S20" s="496">
        <f t="shared" si="9"/>
        <v>62637.2</v>
      </c>
      <c r="T20" s="499">
        <v>52197.7</v>
      </c>
      <c r="U20" s="500">
        <v>10439.5</v>
      </c>
      <c r="V20" s="501">
        <v>62637.2</v>
      </c>
      <c r="W20" s="502">
        <v>52197.7</v>
      </c>
      <c r="X20" s="502">
        <v>10439.5</v>
      </c>
      <c r="Y20" s="214"/>
      <c r="Z20" s="214"/>
      <c r="AA20" s="214"/>
      <c r="AB20" s="214"/>
      <c r="AC20" s="214"/>
      <c r="AD20" s="503"/>
      <c r="AE20" s="504"/>
      <c r="AF20" s="503"/>
    </row>
    <row r="21" spans="1:32" s="494" customFormat="1" ht="12.75">
      <c r="A21" s="1900"/>
      <c r="B21" s="1903"/>
      <c r="C21" s="505" t="s">
        <v>296</v>
      </c>
      <c r="D21" s="496">
        <f t="shared" si="3"/>
        <v>254400</v>
      </c>
      <c r="E21" s="497">
        <f>400*530</f>
        <v>212000</v>
      </c>
      <c r="F21" s="638">
        <f t="shared" si="10"/>
        <v>42400</v>
      </c>
      <c r="G21" s="496">
        <f t="shared" si="4"/>
        <v>61041.149999999994</v>
      </c>
      <c r="H21" s="497">
        <f>+'[2]2021-2023'!H22+'[2]2021-2023'!K22</f>
        <v>50707.85</v>
      </c>
      <c r="I21" s="498">
        <f>+'[2]2021-2023'!I22+'[2]2021-2023'!L22</f>
        <v>10333.299999999999</v>
      </c>
      <c r="J21" s="641">
        <f t="shared" si="5"/>
        <v>50707.85</v>
      </c>
      <c r="K21" s="497">
        <f>+'[2]2021-2023'!K22</f>
        <v>50707.85</v>
      </c>
      <c r="L21" s="498"/>
      <c r="M21" s="496">
        <f t="shared" si="6"/>
        <v>105788.5</v>
      </c>
      <c r="N21" s="497">
        <v>88157.1</v>
      </c>
      <c r="O21" s="498">
        <v>17631.400000000001</v>
      </c>
      <c r="P21" s="496">
        <f t="shared" si="7"/>
        <v>87570.349999999991</v>
      </c>
      <c r="Q21" s="499">
        <f t="shared" si="8"/>
        <v>73135.049999999988</v>
      </c>
      <c r="R21" s="500">
        <f t="shared" si="8"/>
        <v>14435.3</v>
      </c>
      <c r="S21" s="496">
        <f t="shared" si="9"/>
        <v>87570.3</v>
      </c>
      <c r="T21" s="499">
        <v>73135</v>
      </c>
      <c r="U21" s="500">
        <v>14435.3</v>
      </c>
      <c r="V21" s="501">
        <v>87570.3</v>
      </c>
      <c r="W21" s="502">
        <v>73135</v>
      </c>
      <c r="X21" s="502">
        <v>14435.3</v>
      </c>
      <c r="Y21" s="214"/>
      <c r="Z21" s="214"/>
      <c r="AA21" s="214"/>
      <c r="AB21" s="214"/>
      <c r="AC21" s="214"/>
      <c r="AD21" s="503"/>
      <c r="AE21" s="504"/>
      <c r="AF21" s="503"/>
    </row>
    <row r="22" spans="1:32" s="494" customFormat="1" ht="12.75">
      <c r="A22" s="1900"/>
      <c r="B22" s="1903"/>
      <c r="C22" s="505" t="s">
        <v>297</v>
      </c>
      <c r="D22" s="496">
        <f t="shared" si="3"/>
        <v>95400</v>
      </c>
      <c r="E22" s="497">
        <f>150*530</f>
        <v>79500</v>
      </c>
      <c r="F22" s="638">
        <f t="shared" si="10"/>
        <v>15900</v>
      </c>
      <c r="G22" s="496">
        <f t="shared" si="4"/>
        <v>6432.7</v>
      </c>
      <c r="H22" s="497">
        <f>+'[2]2021-2023'!H23+'[2]2021-2023'!K23</f>
        <v>5919.3</v>
      </c>
      <c r="I22" s="498">
        <f>+'[2]2021-2023'!I23+'[2]2021-2023'!L23</f>
        <v>513.4</v>
      </c>
      <c r="J22" s="641">
        <f t="shared" si="5"/>
        <v>760</v>
      </c>
      <c r="K22" s="497">
        <v>760</v>
      </c>
      <c r="L22" s="498"/>
      <c r="M22" s="496">
        <f t="shared" si="6"/>
        <v>77924.899999999994</v>
      </c>
      <c r="N22" s="497">
        <v>64937.4</v>
      </c>
      <c r="O22" s="498">
        <v>12987.5</v>
      </c>
      <c r="P22" s="496">
        <f t="shared" si="7"/>
        <v>11042.399999999996</v>
      </c>
      <c r="Q22" s="499">
        <f t="shared" si="8"/>
        <v>8643.2999999999956</v>
      </c>
      <c r="R22" s="500">
        <f t="shared" si="8"/>
        <v>2399.1000000000004</v>
      </c>
      <c r="S22" s="496">
        <f t="shared" si="9"/>
        <v>11042.399999999996</v>
      </c>
      <c r="T22" s="499">
        <v>8643.2999999999956</v>
      </c>
      <c r="U22" s="500">
        <v>2399.1000000000004</v>
      </c>
      <c r="V22" s="501">
        <v>11042.399999999996</v>
      </c>
      <c r="W22" s="502">
        <v>8643.2999999999956</v>
      </c>
      <c r="X22" s="502">
        <v>2399.1000000000004</v>
      </c>
      <c r="Y22" s="214"/>
      <c r="Z22" s="214"/>
      <c r="AA22" s="214"/>
      <c r="AB22" s="214"/>
      <c r="AC22" s="214"/>
      <c r="AD22" s="503"/>
      <c r="AE22" s="504"/>
      <c r="AF22" s="503"/>
    </row>
    <row r="23" spans="1:32" s="494" customFormat="1" ht="12.75">
      <c r="A23" s="1900"/>
      <c r="B23" s="1903"/>
      <c r="C23" s="505" t="s">
        <v>298</v>
      </c>
      <c r="D23" s="496">
        <f t="shared" si="3"/>
        <v>597840</v>
      </c>
      <c r="E23" s="497">
        <f>940*530</f>
        <v>498200</v>
      </c>
      <c r="F23" s="638">
        <f t="shared" si="10"/>
        <v>99640</v>
      </c>
      <c r="G23" s="496">
        <f t="shared" si="4"/>
        <v>59442.28</v>
      </c>
      <c r="H23" s="497">
        <f>+'[2]2021-2023'!H24+'[2]2021-2023'!K24</f>
        <v>49885.69</v>
      </c>
      <c r="I23" s="498">
        <f>+'[2]2021-2023'!I24+'[2]2021-2023'!L24</f>
        <v>9556.59</v>
      </c>
      <c r="J23" s="641">
        <f t="shared" si="5"/>
        <v>3193.38</v>
      </c>
      <c r="K23" s="497">
        <v>2851.79</v>
      </c>
      <c r="L23" s="498">
        <v>341.59</v>
      </c>
      <c r="M23" s="496">
        <f t="shared" si="6"/>
        <v>117542.9</v>
      </c>
      <c r="N23" s="497">
        <v>97952.4</v>
      </c>
      <c r="O23" s="498">
        <v>19590.5</v>
      </c>
      <c r="P23" s="496">
        <f t="shared" si="7"/>
        <v>420854.82000000007</v>
      </c>
      <c r="Q23" s="499">
        <f t="shared" si="8"/>
        <v>350361.91000000003</v>
      </c>
      <c r="R23" s="500">
        <f t="shared" si="8"/>
        <v>70492.91</v>
      </c>
      <c r="S23" s="496">
        <f t="shared" si="9"/>
        <v>420854.82000000007</v>
      </c>
      <c r="T23" s="499">
        <v>350361.91000000003</v>
      </c>
      <c r="U23" s="500">
        <v>70492.91</v>
      </c>
      <c r="V23" s="501">
        <v>420854.82000000007</v>
      </c>
      <c r="W23" s="502">
        <v>350361.91000000003</v>
      </c>
      <c r="X23" s="502">
        <v>70492.91</v>
      </c>
      <c r="Y23" s="214"/>
      <c r="Z23" s="214"/>
      <c r="AA23" s="214"/>
      <c r="AB23" s="214"/>
      <c r="AC23" s="214"/>
      <c r="AD23" s="503"/>
      <c r="AE23" s="504"/>
      <c r="AF23" s="503"/>
    </row>
    <row r="24" spans="1:32" s="494" customFormat="1" ht="25.5">
      <c r="A24" s="1900"/>
      <c r="B24" s="1903"/>
      <c r="C24" s="505" t="s">
        <v>299</v>
      </c>
      <c r="D24" s="496">
        <f t="shared" si="3"/>
        <v>127200</v>
      </c>
      <c r="E24" s="497">
        <f>200*530</f>
        <v>106000</v>
      </c>
      <c r="F24" s="638">
        <f t="shared" si="10"/>
        <v>21200</v>
      </c>
      <c r="G24" s="496">
        <f t="shared" si="4"/>
        <v>0</v>
      </c>
      <c r="H24" s="497">
        <f>+'[2]2021-2023'!H25+'[2]2021-2023'!K25</f>
        <v>0</v>
      </c>
      <c r="I24" s="498">
        <f>+'[2]2021-2023'!I25+'[2]2021-2023'!L25</f>
        <v>0</v>
      </c>
      <c r="J24" s="641"/>
      <c r="K24" s="497"/>
      <c r="L24" s="498"/>
      <c r="M24" s="496">
        <f t="shared" si="6"/>
        <v>58771.399999999994</v>
      </c>
      <c r="N24" s="497">
        <v>48976.2</v>
      </c>
      <c r="O24" s="498">
        <v>9795.2000000000007</v>
      </c>
      <c r="P24" s="496">
        <f t="shared" si="7"/>
        <v>68428.600000000006</v>
      </c>
      <c r="Q24" s="499">
        <f t="shared" si="8"/>
        <v>57023.8</v>
      </c>
      <c r="R24" s="500">
        <f t="shared" si="8"/>
        <v>11404.8</v>
      </c>
      <c r="S24" s="496">
        <f t="shared" si="9"/>
        <v>68428.600000000006</v>
      </c>
      <c r="T24" s="499">
        <v>57023.8</v>
      </c>
      <c r="U24" s="500">
        <v>11404.8</v>
      </c>
      <c r="V24" s="501">
        <v>68428.600000000006</v>
      </c>
      <c r="W24" s="502">
        <v>57023.8</v>
      </c>
      <c r="X24" s="502">
        <v>11404.8</v>
      </c>
      <c r="Y24" s="214"/>
      <c r="Z24" s="214"/>
      <c r="AA24" s="214"/>
      <c r="AB24" s="214"/>
      <c r="AC24" s="214"/>
      <c r="AD24" s="503"/>
      <c r="AE24" s="504"/>
      <c r="AF24" s="503"/>
    </row>
    <row r="25" spans="1:32" s="494" customFormat="1" ht="29.25" customHeight="1" thickBot="1">
      <c r="A25" s="1901"/>
      <c r="B25" s="1904"/>
      <c r="C25" s="506" t="s">
        <v>300</v>
      </c>
      <c r="D25" s="507">
        <f t="shared" si="3"/>
        <v>95400</v>
      </c>
      <c r="E25" s="508">
        <f>150*530</f>
        <v>79500</v>
      </c>
      <c r="F25" s="639">
        <f t="shared" si="10"/>
        <v>15900</v>
      </c>
      <c r="G25" s="507">
        <f t="shared" si="4"/>
        <v>0</v>
      </c>
      <c r="H25" s="508">
        <f>+'[2]2021-2023'!H26+'[2]2021-2023'!K26</f>
        <v>0</v>
      </c>
      <c r="I25" s="509">
        <f>+'[2]2021-2023'!I26+'[2]2021-2023'!L26</f>
        <v>0</v>
      </c>
      <c r="J25" s="642"/>
      <c r="K25" s="508"/>
      <c r="L25" s="509"/>
      <c r="M25" s="507">
        <f t="shared" si="6"/>
        <v>37646.400000000001</v>
      </c>
      <c r="N25" s="508">
        <v>31372</v>
      </c>
      <c r="O25" s="509">
        <v>6274.4</v>
      </c>
      <c r="P25" s="507">
        <f t="shared" si="7"/>
        <v>57753.599999999999</v>
      </c>
      <c r="Q25" s="510">
        <f t="shared" si="8"/>
        <v>48128</v>
      </c>
      <c r="R25" s="511">
        <f t="shared" si="8"/>
        <v>9625.6</v>
      </c>
      <c r="S25" s="507">
        <f t="shared" si="9"/>
        <v>57753.599999999999</v>
      </c>
      <c r="T25" s="510">
        <v>48128</v>
      </c>
      <c r="U25" s="511">
        <v>9625.6</v>
      </c>
      <c r="V25" s="512">
        <v>57753.599999999999</v>
      </c>
      <c r="W25" s="513">
        <v>48128</v>
      </c>
      <c r="X25" s="513">
        <v>9625.6</v>
      </c>
      <c r="Y25" s="513"/>
      <c r="Z25" s="513"/>
      <c r="AA25" s="513"/>
      <c r="AB25" s="513"/>
      <c r="AC25" s="513"/>
      <c r="AD25" s="514"/>
      <c r="AE25" s="512"/>
      <c r="AF25" s="514"/>
    </row>
    <row r="26" spans="1:32" ht="17.25">
      <c r="A26" s="408"/>
    </row>
    <row r="52" spans="1:17">
      <c r="A52" s="1933"/>
      <c r="B52" s="1933"/>
      <c r="C52" s="1933"/>
      <c r="D52" s="1933"/>
      <c r="E52" s="1933"/>
      <c r="F52" s="1933"/>
      <c r="G52" s="1933"/>
      <c r="H52" s="1933"/>
      <c r="I52" s="1933"/>
      <c r="J52" s="1933"/>
      <c r="K52" s="1933"/>
      <c r="L52" s="1933"/>
      <c r="M52" s="1933"/>
      <c r="N52" s="1933"/>
      <c r="O52" s="1933"/>
      <c r="P52" s="1933"/>
      <c r="Q52" s="1933"/>
    </row>
    <row r="53" spans="1:17">
      <c r="A53" s="1933"/>
      <c r="B53" s="1933"/>
      <c r="C53" s="1933"/>
      <c r="D53" s="1933"/>
      <c r="E53" s="1933"/>
      <c r="F53" s="1933"/>
      <c r="G53" s="1933"/>
      <c r="H53" s="1933"/>
      <c r="I53" s="1933"/>
      <c r="J53" s="1933"/>
      <c r="K53" s="1933"/>
      <c r="L53" s="1933"/>
      <c r="M53" s="1933"/>
      <c r="N53" s="1933"/>
      <c r="O53" s="1933"/>
      <c r="P53" s="1933"/>
      <c r="Q53" s="1933"/>
    </row>
  </sheetData>
  <mergeCells count="47">
    <mergeCell ref="A52:Q53"/>
    <mergeCell ref="G7:G8"/>
    <mergeCell ref="P5:R6"/>
    <mergeCell ref="S5:U6"/>
    <mergeCell ref="T7:T8"/>
    <mergeCell ref="U7:U8"/>
    <mergeCell ref="N7:N8"/>
    <mergeCell ref="O7:O8"/>
    <mergeCell ref="P7:P8"/>
    <mergeCell ref="Q7:Q8"/>
    <mergeCell ref="R7:R8"/>
    <mergeCell ref="S7:S8"/>
    <mergeCell ref="H7:H8"/>
    <mergeCell ref="I7:I8"/>
    <mergeCell ref="J7:J8"/>
    <mergeCell ref="K7:K8"/>
    <mergeCell ref="AE5:AE8"/>
    <mergeCell ref="AF5:AF8"/>
    <mergeCell ref="V6:X6"/>
    <mergeCell ref="Y6:AA6"/>
    <mergeCell ref="AB6:AD6"/>
    <mergeCell ref="AB7:AB8"/>
    <mergeCell ref="AC7:AC8"/>
    <mergeCell ref="AD7:AD8"/>
    <mergeCell ref="V7:V8"/>
    <mergeCell ref="W7:W8"/>
    <mergeCell ref="X7:X8"/>
    <mergeCell ref="Y7:Y8"/>
    <mergeCell ref="Z7:Z8"/>
    <mergeCell ref="AA7:AA8"/>
    <mergeCell ref="V5:AD5"/>
    <mergeCell ref="M7:M8"/>
    <mergeCell ref="A5:B8"/>
    <mergeCell ref="C5:C8"/>
    <mergeCell ref="D5:F6"/>
    <mergeCell ref="G5:I6"/>
    <mergeCell ref="J5:L6"/>
    <mergeCell ref="M5:O6"/>
    <mergeCell ref="D7:D8"/>
    <mergeCell ref="E7:E8"/>
    <mergeCell ref="F7:F8"/>
    <mergeCell ref="A10:A25"/>
    <mergeCell ref="B10:B12"/>
    <mergeCell ref="B14:B15"/>
    <mergeCell ref="B17:B25"/>
    <mergeCell ref="L7:L8"/>
    <mergeCell ref="A9:C9"/>
  </mergeCells>
  <hyperlinks>
    <hyperlink ref="C12" location="_ftn1" display="_ftn1"/>
    <hyperlink ref="C18" location="_ftn2" display="_ftn2"/>
    <hyperlink ref="C23" location="_ftn2" display="_ftn2"/>
  </hyperlinks>
  <pageMargins left="0.7" right="0.7" top="0.75" bottom="0.75" header="0.3" footer="0.3"/>
  <ignoredErrors>
    <ignoredError sqref="G10:K10 M10:S10 E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AMPOP</vt:lpstr>
      <vt:lpstr>AMPOP POAK</vt:lpstr>
      <vt:lpstr>N 4_hodvacayin</vt:lpstr>
      <vt:lpstr>N 5_Gorcarnakan</vt:lpstr>
      <vt:lpstr>N 7_ekamut</vt:lpstr>
      <vt:lpstr>N 8_taracq</vt:lpstr>
      <vt:lpstr>N10-1</vt:lpstr>
      <vt:lpstr>N 10-2</vt:lpstr>
      <vt:lpstr>N 9-1</vt:lpstr>
      <vt:lpstr>9-2</vt:lpstr>
      <vt:lpstr>11-1</vt:lpstr>
      <vt:lpstr>11-2</vt:lpstr>
      <vt:lpstr>BNaparat</vt:lpstr>
      <vt:lpstr>Cig</vt:lpstr>
      <vt:lpstr>Antarkomite</vt:lpstr>
      <vt:lpstr>Havelvac 3 mas 2</vt:lpstr>
      <vt:lpstr>Havelvac 3 mas 4 ՄԺԾԾ</vt:lpstr>
      <vt:lpstr>Հավելված 3 Մաս 3</vt:lpstr>
      <vt:lpstr>Աղյուսակ Ա. (կատարողի բացվա</vt:lpstr>
      <vt:lpstr>'Havelvac 3 mas 2'!_ftn2</vt:lpstr>
      <vt:lpstr>'Հավելված 3 Մաս 3'!_ftn20</vt:lpstr>
      <vt:lpstr>'Havelvac 3 mas 2'!_ftn3</vt:lpstr>
      <vt:lpstr>'Havelvac 3 mas 2'!_ftn4</vt:lpstr>
      <vt:lpstr>'Havelvac 3 mas 2'!_ftn5</vt:lpstr>
      <vt:lpstr>'Հավելված 3 Մաս 3'!_ftnref12</vt:lpstr>
      <vt:lpstr>'Havelvac 3 mas 2'!_ftnref3</vt:lpstr>
      <vt:lpstr>'Havelvac 3 mas 2'!_ftnref4</vt:lpstr>
      <vt:lpstr>'Havelvac 3 mas 2'!_ftnref5</vt:lpstr>
      <vt:lpstr>AMPOP!Print_Area</vt:lpstr>
      <vt:lpstr>'AMPOP POAK'!Print_Area</vt:lpstr>
      <vt:lpstr>Antarkomite!Print_Area</vt:lpstr>
      <vt:lpstr>AMPOP!Print_Titles</vt:lpstr>
      <vt:lpstr>'AMPOP POAK'!Print_Titles</vt:lpstr>
      <vt:lpstr>Antarkomite!Print_Titles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2020-03-16T10:22:24Z</dcterms:modified>
</cp:coreProperties>
</file>